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ngel\Documents\Facket\Distriktsläkarprognosen\statistik\"/>
    </mc:Choice>
  </mc:AlternateContent>
  <xr:revisionPtr revIDLastSave="0" documentId="8_{8FFAEFDF-A1AA-4293-BA3C-11C6437207EA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Beslutad ramhöjning" sheetId="13" r:id="rId1"/>
    <sheet name="Handlingsplan" sheetId="9" r:id="rId2"/>
    <sheet name="Blad1" sheetId="1" r:id="rId3"/>
    <sheet name="Blad2" sheetId="2" r:id="rId4"/>
  </sheets>
  <definedNames>
    <definedName name="columnNest0" localSheetId="0">'Beslutad ramhöjning'!#REF!</definedName>
    <definedName name="columnNest0" localSheetId="2">Blad1!#REF!</definedName>
    <definedName name="columnNest0" localSheetId="1">Handlingsplan!#REF!</definedName>
    <definedName name="rowNest0" localSheetId="0">'Beslutad ramhöjning'!#REF!</definedName>
    <definedName name="rowNest0" localSheetId="2">Blad1!#REF!</definedName>
    <definedName name="rowNest0" localSheetId="1">Handlingsplan!#REF!</definedName>
    <definedName name="sortIcon" localSheetId="0">'Beslutad ramhöjning'!#REF!</definedName>
    <definedName name="sortIcon" localSheetId="2">Blad1!#REF!</definedName>
    <definedName name="sortIcon" localSheetId="1">Handlingsplan!#REF!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9" l="1"/>
  <c r="D36" i="13"/>
  <c r="D28" i="13"/>
  <c r="D18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J15" i="13"/>
  <c r="I15" i="13"/>
  <c r="G15" i="13"/>
  <c r="P14" i="13"/>
  <c r="P15" i="13" s="1"/>
  <c r="O14" i="13"/>
  <c r="O15" i="13" s="1"/>
  <c r="N14" i="13"/>
  <c r="N15" i="13" s="1"/>
  <c r="M14" i="13"/>
  <c r="M15" i="13" s="1"/>
  <c r="L14" i="13"/>
  <c r="L15" i="13" s="1"/>
  <c r="K14" i="13"/>
  <c r="K15" i="13" s="1"/>
  <c r="J14" i="13"/>
  <c r="I14" i="13"/>
  <c r="H14" i="13"/>
  <c r="H15" i="13" s="1"/>
  <c r="G14" i="13"/>
  <c r="F14" i="13"/>
  <c r="F15" i="13" s="1"/>
  <c r="E14" i="13"/>
  <c r="E15" i="13" s="1"/>
  <c r="E18" i="13" s="1"/>
  <c r="D9" i="13"/>
  <c r="D8" i="13"/>
  <c r="D10" i="13" s="1"/>
  <c r="V7" i="13"/>
  <c r="U7" i="13"/>
  <c r="T7" i="13"/>
  <c r="S7" i="13"/>
  <c r="R7" i="13"/>
  <c r="Q7" i="13"/>
  <c r="P7" i="13"/>
  <c r="O7" i="13"/>
  <c r="N7" i="13"/>
  <c r="M7" i="13"/>
  <c r="L7" i="13"/>
  <c r="K7" i="13"/>
  <c r="E6" i="13"/>
  <c r="E9" i="13" s="1"/>
  <c r="D36" i="9"/>
  <c r="K14" i="9"/>
  <c r="K15" i="9" s="1"/>
  <c r="O14" i="9"/>
  <c r="O15" i="9" s="1"/>
  <c r="N14" i="9"/>
  <c r="N15" i="9" s="1"/>
  <c r="M14" i="9"/>
  <c r="M15" i="9" s="1"/>
  <c r="L14" i="9"/>
  <c r="L15" i="9" s="1"/>
  <c r="J14" i="9"/>
  <c r="J15" i="9"/>
  <c r="I14" i="9"/>
  <c r="H14" i="9"/>
  <c r="G14" i="9"/>
  <c r="F14" i="9"/>
  <c r="F15" i="9" s="1"/>
  <c r="E14" i="9"/>
  <c r="E15" i="9" s="1"/>
  <c r="D28" i="9"/>
  <c r="E28" i="9" s="1"/>
  <c r="D18" i="9"/>
  <c r="D22" i="9" s="1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9" i="9"/>
  <c r="D8" i="9"/>
  <c r="D10" i="9" s="1"/>
  <c r="V7" i="9"/>
  <c r="U7" i="9"/>
  <c r="T7" i="9"/>
  <c r="S7" i="9"/>
  <c r="R7" i="9"/>
  <c r="Q7" i="9"/>
  <c r="P7" i="9"/>
  <c r="O7" i="9"/>
  <c r="N7" i="9"/>
  <c r="M7" i="9"/>
  <c r="L7" i="9"/>
  <c r="K7" i="9"/>
  <c r="E6" i="9"/>
  <c r="F6" i="9" s="1"/>
  <c r="E19" i="13" l="1"/>
  <c r="E23" i="13" s="1"/>
  <c r="E22" i="13"/>
  <c r="E21" i="13"/>
  <c r="D21" i="13"/>
  <c r="D23" i="13" s="1"/>
  <c r="D26" i="13" s="1"/>
  <c r="E8" i="13"/>
  <c r="E10" i="13" s="1"/>
  <c r="D22" i="13"/>
  <c r="F6" i="13"/>
  <c r="E28" i="13"/>
  <c r="G15" i="9"/>
  <c r="E18" i="9"/>
  <c r="E22" i="9" s="1"/>
  <c r="D21" i="9"/>
  <c r="D23" i="9" s="1"/>
  <c r="D26" i="9" s="1"/>
  <c r="D35" i="9" s="1"/>
  <c r="E8" i="9"/>
  <c r="E10" i="9" s="1"/>
  <c r="G6" i="9"/>
  <c r="E9" i="9"/>
  <c r="F28" i="9"/>
  <c r="E26" i="13" l="1"/>
  <c r="D34" i="13"/>
  <c r="D35" i="13"/>
  <c r="F18" i="13"/>
  <c r="G6" i="13"/>
  <c r="F8" i="13"/>
  <c r="F10" i="13" s="1"/>
  <c r="F9" i="13"/>
  <c r="E36" i="13"/>
  <c r="F28" i="13"/>
  <c r="E35" i="13"/>
  <c r="E34" i="13"/>
  <c r="I15" i="9"/>
  <c r="E19" i="9"/>
  <c r="F18" i="9" s="1"/>
  <c r="F21" i="9" s="1"/>
  <c r="E21" i="9"/>
  <c r="D34" i="9"/>
  <c r="F9" i="9"/>
  <c r="F8" i="9"/>
  <c r="F10" i="9" s="1"/>
  <c r="G28" i="9"/>
  <c r="H6" i="9"/>
  <c r="G8" i="9"/>
  <c r="G10" i="9" s="1"/>
  <c r="G9" i="9"/>
  <c r="G28" i="13" l="1"/>
  <c r="G8" i="13"/>
  <c r="G10" i="13"/>
  <c r="G9" i="13"/>
  <c r="H6" i="13"/>
  <c r="F22" i="13"/>
  <c r="F21" i="13"/>
  <c r="F19" i="13"/>
  <c r="G18" i="13" s="1"/>
  <c r="H15" i="9"/>
  <c r="F22" i="9"/>
  <c r="F19" i="9"/>
  <c r="G18" i="9" s="1"/>
  <c r="G21" i="9" s="1"/>
  <c r="E23" i="9"/>
  <c r="E26" i="9" s="1"/>
  <c r="H8" i="9"/>
  <c r="H10" i="9" s="1"/>
  <c r="H9" i="9"/>
  <c r="I6" i="9"/>
  <c r="H28" i="9"/>
  <c r="E35" i="9" l="1"/>
  <c r="E36" i="9"/>
  <c r="G22" i="13"/>
  <c r="G21" i="13"/>
  <c r="G19" i="13"/>
  <c r="H18" i="13" s="1"/>
  <c r="G23" i="13"/>
  <c r="G26" i="13" s="1"/>
  <c r="G35" i="13" s="1"/>
  <c r="F23" i="13"/>
  <c r="F26" i="13" s="1"/>
  <c r="H8" i="13"/>
  <c r="H10" i="13" s="1"/>
  <c r="I6" i="13"/>
  <c r="H9" i="13"/>
  <c r="H28" i="13"/>
  <c r="G22" i="9"/>
  <c r="G23" i="9" s="1"/>
  <c r="G26" i="9" s="1"/>
  <c r="I8" i="9"/>
  <c r="I10" i="9" s="1"/>
  <c r="J6" i="9"/>
  <c r="P15" i="9" s="1"/>
  <c r="E34" i="9"/>
  <c r="G19" i="9"/>
  <c r="H18" i="9" s="1"/>
  <c r="H22" i="9" s="1"/>
  <c r="F23" i="9"/>
  <c r="F26" i="9" s="1"/>
  <c r="I9" i="9"/>
  <c r="I28" i="9"/>
  <c r="G35" i="9" l="1"/>
  <c r="G36" i="9"/>
  <c r="F35" i="9"/>
  <c r="F36" i="9"/>
  <c r="H21" i="13"/>
  <c r="H19" i="13"/>
  <c r="H23" i="13" s="1"/>
  <c r="H26" i="13" s="1"/>
  <c r="H22" i="13"/>
  <c r="F35" i="13"/>
  <c r="F36" i="13"/>
  <c r="F34" i="13"/>
  <c r="G36" i="13"/>
  <c r="G34" i="13"/>
  <c r="I28" i="13"/>
  <c r="I9" i="13"/>
  <c r="J6" i="13"/>
  <c r="I8" i="13"/>
  <c r="I10" i="13" s="1"/>
  <c r="F34" i="9"/>
  <c r="H21" i="9"/>
  <c r="G34" i="9"/>
  <c r="H19" i="9"/>
  <c r="I18" i="9" s="1"/>
  <c r="I22" i="9" s="1"/>
  <c r="J28" i="9"/>
  <c r="J8" i="9"/>
  <c r="J10" i="9" s="1"/>
  <c r="J9" i="9"/>
  <c r="K6" i="9"/>
  <c r="Q14" i="9" s="1"/>
  <c r="Q15" i="9" s="1"/>
  <c r="H35" i="13" l="1"/>
  <c r="H36" i="13"/>
  <c r="H34" i="13"/>
  <c r="J28" i="13"/>
  <c r="I18" i="13"/>
  <c r="J9" i="13"/>
  <c r="K6" i="13"/>
  <c r="J8" i="13"/>
  <c r="J10" i="13" s="1"/>
  <c r="H23" i="9"/>
  <c r="H26" i="9" s="1"/>
  <c r="I19" i="9"/>
  <c r="J18" i="9" s="1"/>
  <c r="J19" i="9" s="1"/>
  <c r="I21" i="9"/>
  <c r="K8" i="9"/>
  <c r="K10" i="9" s="1"/>
  <c r="K28" i="9"/>
  <c r="K9" i="9"/>
  <c r="L6" i="9"/>
  <c r="R14" i="9" s="1"/>
  <c r="R15" i="9" s="1"/>
  <c r="H35" i="9" l="1"/>
  <c r="H36" i="9"/>
  <c r="K28" i="13"/>
  <c r="K9" i="13"/>
  <c r="L6" i="13"/>
  <c r="K8" i="13"/>
  <c r="K10" i="13" s="1"/>
  <c r="Q14" i="13"/>
  <c r="Q15" i="13" s="1"/>
  <c r="I21" i="13"/>
  <c r="I19" i="13"/>
  <c r="I23" i="13" s="1"/>
  <c r="I26" i="13" s="1"/>
  <c r="I22" i="13"/>
  <c r="H34" i="9"/>
  <c r="J21" i="9"/>
  <c r="J22" i="9"/>
  <c r="I23" i="9"/>
  <c r="I26" i="9" s="1"/>
  <c r="K18" i="9"/>
  <c r="K22" i="9" s="1"/>
  <c r="L8" i="9"/>
  <c r="L10" i="9" s="1"/>
  <c r="L28" i="9"/>
  <c r="M6" i="9"/>
  <c r="S14" i="9" s="1"/>
  <c r="S15" i="9" s="1"/>
  <c r="L9" i="9"/>
  <c r="I35" i="9" l="1"/>
  <c r="I36" i="9"/>
  <c r="I34" i="13"/>
  <c r="I36" i="13"/>
  <c r="I35" i="13"/>
  <c r="M6" i="13"/>
  <c r="L9" i="13"/>
  <c r="L8" i="13"/>
  <c r="L10" i="13" s="1"/>
  <c r="R14" i="13"/>
  <c r="R15" i="13" s="1"/>
  <c r="J18" i="13"/>
  <c r="L28" i="13"/>
  <c r="J23" i="9"/>
  <c r="J26" i="9" s="1"/>
  <c r="I34" i="9"/>
  <c r="K19" i="9"/>
  <c r="L18" i="9" s="1"/>
  <c r="L22" i="9" s="1"/>
  <c r="K21" i="9"/>
  <c r="M9" i="9"/>
  <c r="M8" i="9"/>
  <c r="M10" i="9" s="1"/>
  <c r="N6" i="9"/>
  <c r="T14" i="9" s="1"/>
  <c r="T15" i="9" s="1"/>
  <c r="M28" i="9"/>
  <c r="J35" i="9" l="1"/>
  <c r="J36" i="9"/>
  <c r="M9" i="13"/>
  <c r="N6" i="13"/>
  <c r="S14" i="13"/>
  <c r="S15" i="13" s="1"/>
  <c r="M8" i="13"/>
  <c r="M10" i="13" s="1"/>
  <c r="M28" i="13"/>
  <c r="J21" i="13"/>
  <c r="J19" i="13"/>
  <c r="J23" i="13" s="1"/>
  <c r="J26" i="13" s="1"/>
  <c r="J22" i="13"/>
  <c r="J34" i="9"/>
  <c r="K23" i="9"/>
  <c r="K26" i="9" s="1"/>
  <c r="L19" i="9"/>
  <c r="M18" i="9" s="1"/>
  <c r="L21" i="9"/>
  <c r="N28" i="9"/>
  <c r="N9" i="9"/>
  <c r="O6" i="9"/>
  <c r="U14" i="9" s="1"/>
  <c r="U15" i="9" s="1"/>
  <c r="N8" i="9"/>
  <c r="N10" i="9" s="1"/>
  <c r="K35" i="9" l="1"/>
  <c r="K36" i="9"/>
  <c r="J34" i="13"/>
  <c r="J35" i="13"/>
  <c r="J36" i="13"/>
  <c r="K18" i="13"/>
  <c r="O6" i="13"/>
  <c r="N8" i="13"/>
  <c r="T14" i="13"/>
  <c r="T15" i="13" s="1"/>
  <c r="N10" i="13"/>
  <c r="N9" i="13"/>
  <c r="N28" i="13"/>
  <c r="K34" i="9"/>
  <c r="L23" i="9"/>
  <c r="L26" i="9" s="1"/>
  <c r="L36" i="9" s="1"/>
  <c r="M21" i="9"/>
  <c r="M19" i="9"/>
  <c r="N18" i="9" s="1"/>
  <c r="M22" i="9"/>
  <c r="O28" i="9"/>
  <c r="P6" i="9"/>
  <c r="V14" i="9" s="1"/>
  <c r="V15" i="9" s="1"/>
  <c r="O9" i="9"/>
  <c r="O8" i="9"/>
  <c r="O10" i="9" s="1"/>
  <c r="O8" i="13" l="1"/>
  <c r="O10" i="13" s="1"/>
  <c r="U14" i="13"/>
  <c r="U15" i="13" s="1"/>
  <c r="O9" i="13"/>
  <c r="P6" i="13"/>
  <c r="K19" i="13"/>
  <c r="L18" i="13" s="1"/>
  <c r="K23" i="13"/>
  <c r="K26" i="13" s="1"/>
  <c r="K22" i="13"/>
  <c r="K21" i="13"/>
  <c r="O28" i="13"/>
  <c r="L35" i="9"/>
  <c r="L34" i="9"/>
  <c r="M23" i="9"/>
  <c r="M26" i="9" s="1"/>
  <c r="M36" i="9" s="1"/>
  <c r="P28" i="9"/>
  <c r="N21" i="9"/>
  <c r="N19" i="9"/>
  <c r="O18" i="9" s="1"/>
  <c r="N22" i="9"/>
  <c r="P8" i="9"/>
  <c r="P10" i="9" s="1"/>
  <c r="Q6" i="9"/>
  <c r="P9" i="9"/>
  <c r="M35" i="9" l="1"/>
  <c r="L19" i="13"/>
  <c r="L22" i="13"/>
  <c r="L21" i="13"/>
  <c r="K34" i="13"/>
  <c r="K36" i="13"/>
  <c r="K35" i="13"/>
  <c r="P28" i="13"/>
  <c r="P8" i="13"/>
  <c r="P10" i="13" s="1"/>
  <c r="V14" i="13"/>
  <c r="V15" i="13" s="1"/>
  <c r="P9" i="13"/>
  <c r="Q6" i="13"/>
  <c r="M34" i="9"/>
  <c r="O21" i="9"/>
  <c r="O19" i="9"/>
  <c r="P18" i="9" s="1"/>
  <c r="O22" i="9"/>
  <c r="N23" i="9"/>
  <c r="N26" i="9" s="1"/>
  <c r="Q8" i="9"/>
  <c r="Q10" i="9" s="1"/>
  <c r="Q9" i="9"/>
  <c r="R6" i="9"/>
  <c r="Q28" i="9"/>
  <c r="N35" i="9" l="1"/>
  <c r="N36" i="9"/>
  <c r="L23" i="13"/>
  <c r="L26" i="13" s="1"/>
  <c r="L34" i="13" s="1"/>
  <c r="Q28" i="13"/>
  <c r="M18" i="13"/>
  <c r="Q9" i="13"/>
  <c r="Q8" i="13"/>
  <c r="Q10" i="13" s="1"/>
  <c r="R6" i="13"/>
  <c r="O23" i="9"/>
  <c r="O26" i="9" s="1"/>
  <c r="N34" i="9"/>
  <c r="R28" i="9"/>
  <c r="P19" i="9"/>
  <c r="Q18" i="9" s="1"/>
  <c r="P22" i="9"/>
  <c r="P21" i="9"/>
  <c r="S6" i="9"/>
  <c r="R8" i="9"/>
  <c r="R10" i="9" s="1"/>
  <c r="R9" i="9"/>
  <c r="O35" i="9" l="1"/>
  <c r="O36" i="9"/>
  <c r="L35" i="13"/>
  <c r="L36" i="13"/>
  <c r="R28" i="13"/>
  <c r="M19" i="13"/>
  <c r="N18" i="13" s="1"/>
  <c r="M22" i="13"/>
  <c r="M21" i="13"/>
  <c r="R9" i="13"/>
  <c r="S6" i="13"/>
  <c r="R8" i="13"/>
  <c r="R10" i="13" s="1"/>
  <c r="O34" i="9"/>
  <c r="P23" i="9"/>
  <c r="P26" i="9" s="1"/>
  <c r="P36" i="9" s="1"/>
  <c r="S9" i="9"/>
  <c r="T6" i="9"/>
  <c r="S8" i="9"/>
  <c r="S10" i="9" s="1"/>
  <c r="S28" i="9"/>
  <c r="Q19" i="9"/>
  <c r="Q22" i="9"/>
  <c r="Q21" i="9"/>
  <c r="M23" i="13" l="1"/>
  <c r="M26" i="13" s="1"/>
  <c r="M35" i="13" s="1"/>
  <c r="N22" i="13"/>
  <c r="N21" i="13"/>
  <c r="N19" i="13"/>
  <c r="S9" i="13"/>
  <c r="S8" i="13"/>
  <c r="S10" i="13" s="1"/>
  <c r="T6" i="13"/>
  <c r="S28" i="13"/>
  <c r="P34" i="9"/>
  <c r="P35" i="9"/>
  <c r="Q23" i="9"/>
  <c r="Q26" i="9" s="1"/>
  <c r="R18" i="9"/>
  <c r="R19" i="9" s="1"/>
  <c r="S18" i="9" s="1"/>
  <c r="T28" i="9"/>
  <c r="U6" i="9"/>
  <c r="T8" i="9"/>
  <c r="T10" i="9" s="1"/>
  <c r="T9" i="9"/>
  <c r="Q35" i="9" l="1"/>
  <c r="Q36" i="9"/>
  <c r="N23" i="13"/>
  <c r="N26" i="13" s="1"/>
  <c r="N34" i="13" s="1"/>
  <c r="M34" i="13"/>
  <c r="M36" i="13"/>
  <c r="U6" i="13"/>
  <c r="T9" i="13"/>
  <c r="T8" i="13"/>
  <c r="T10" i="13" s="1"/>
  <c r="T28" i="13"/>
  <c r="O18" i="13"/>
  <c r="Q34" i="9"/>
  <c r="R21" i="9"/>
  <c r="R22" i="9"/>
  <c r="S22" i="9"/>
  <c r="S21" i="9"/>
  <c r="S19" i="9"/>
  <c r="T18" i="9" s="1"/>
  <c r="U9" i="9"/>
  <c r="U8" i="9"/>
  <c r="U10" i="9" s="1"/>
  <c r="V6" i="9"/>
  <c r="U28" i="9"/>
  <c r="N35" i="13" l="1"/>
  <c r="N36" i="13"/>
  <c r="U9" i="13"/>
  <c r="V6" i="13"/>
  <c r="U8" i="13"/>
  <c r="U10" i="13" s="1"/>
  <c r="O22" i="13"/>
  <c r="O21" i="13"/>
  <c r="O19" i="13"/>
  <c r="P18" i="13" s="1"/>
  <c r="U28" i="13"/>
  <c r="R23" i="9"/>
  <c r="R26" i="9" s="1"/>
  <c r="R36" i="9" s="1"/>
  <c r="T22" i="9"/>
  <c r="T21" i="9"/>
  <c r="T19" i="9"/>
  <c r="V9" i="9"/>
  <c r="V8" i="9"/>
  <c r="V10" i="9" s="1"/>
  <c r="V28" i="9"/>
  <c r="S23" i="9"/>
  <c r="S26" i="9" s="1"/>
  <c r="S35" i="9" l="1"/>
  <c r="S36" i="9"/>
  <c r="P21" i="13"/>
  <c r="P22" i="13"/>
  <c r="P19" i="13"/>
  <c r="O23" i="13"/>
  <c r="O26" i="13" s="1"/>
  <c r="V28" i="13"/>
  <c r="V8" i="13"/>
  <c r="V10" i="13" s="1"/>
  <c r="V9" i="13"/>
  <c r="R34" i="9"/>
  <c r="R35" i="9"/>
  <c r="T23" i="9"/>
  <c r="T26" i="9" s="1"/>
  <c r="U18" i="9"/>
  <c r="U19" i="9" s="1"/>
  <c r="V18" i="9" s="1"/>
  <c r="S34" i="9"/>
  <c r="T35" i="9" l="1"/>
  <c r="T36" i="9"/>
  <c r="P23" i="13"/>
  <c r="P26" i="13" s="1"/>
  <c r="P34" i="13" s="1"/>
  <c r="O35" i="13"/>
  <c r="O34" i="13"/>
  <c r="O36" i="13"/>
  <c r="Q18" i="13"/>
  <c r="T34" i="9"/>
  <c r="U21" i="9"/>
  <c r="U22" i="9"/>
  <c r="V21" i="9"/>
  <c r="V19" i="9"/>
  <c r="V22" i="9"/>
  <c r="P35" i="13" l="1"/>
  <c r="P36" i="13"/>
  <c r="Q21" i="13"/>
  <c r="Q19" i="13"/>
  <c r="Q22" i="13"/>
  <c r="U23" i="9"/>
  <c r="U26" i="9" s="1"/>
  <c r="V23" i="9"/>
  <c r="V26" i="9" s="1"/>
  <c r="V35" i="9" l="1"/>
  <c r="V36" i="9"/>
  <c r="U35" i="9"/>
  <c r="U36" i="9"/>
  <c r="Q23" i="13"/>
  <c r="Q26" i="13" s="1"/>
  <c r="Q34" i="13" s="1"/>
  <c r="R18" i="13"/>
  <c r="U34" i="9"/>
  <c r="V34" i="9"/>
  <c r="Q35" i="13" l="1"/>
  <c r="Q36" i="13"/>
  <c r="R21" i="13"/>
  <c r="R19" i="13"/>
  <c r="R23" i="13" s="1"/>
  <c r="R26" i="13" s="1"/>
  <c r="R22" i="13"/>
  <c r="V21" i="1"/>
  <c r="V20" i="1"/>
  <c r="S20" i="1"/>
  <c r="S21" i="1"/>
  <c r="S22" i="1"/>
  <c r="V22" i="1" s="1"/>
  <c r="S23" i="1"/>
  <c r="V23" i="1" s="1"/>
  <c r="H27" i="1"/>
  <c r="I27" i="1"/>
  <c r="J27" i="1"/>
  <c r="K27" i="1"/>
  <c r="L27" i="1"/>
  <c r="M27" i="1"/>
  <c r="G27" i="1"/>
  <c r="F27" i="1"/>
  <c r="F26" i="1"/>
  <c r="E26" i="1"/>
  <c r="R34" i="13" l="1"/>
  <c r="R36" i="13"/>
  <c r="R35" i="13"/>
  <c r="S18" i="13"/>
  <c r="S24" i="1"/>
  <c r="V24" i="1"/>
  <c r="W24" i="1" s="1"/>
  <c r="E5" i="1"/>
  <c r="F5" i="1" s="1"/>
  <c r="G5" i="1" s="1"/>
  <c r="H5" i="1" s="1"/>
  <c r="I5" i="1" s="1"/>
  <c r="J5" i="1" s="1"/>
  <c r="K5" i="1" s="1"/>
  <c r="L5" i="1" s="1"/>
  <c r="M5" i="1" s="1"/>
  <c r="D6" i="1"/>
  <c r="K11" i="1"/>
  <c r="K12" i="1" s="1"/>
  <c r="J11" i="1"/>
  <c r="J12" i="1" s="1"/>
  <c r="I11" i="1"/>
  <c r="I12" i="1" s="1"/>
  <c r="I21" i="1" s="1"/>
  <c r="I22" i="1" s="1"/>
  <c r="H11" i="1"/>
  <c r="H12" i="1" s="1"/>
  <c r="G11" i="1"/>
  <c r="G12" i="1" s="1"/>
  <c r="F11" i="1"/>
  <c r="F12" i="1" s="1"/>
  <c r="E11" i="1"/>
  <c r="E12" i="1" s="1"/>
  <c r="D11" i="1"/>
  <c r="D12" i="1" s="1"/>
  <c r="C11" i="1"/>
  <c r="C12" i="1" s="1"/>
  <c r="L10" i="1"/>
  <c r="L24" i="1" s="1"/>
  <c r="K10" i="1"/>
  <c r="K24" i="1" s="1"/>
  <c r="J10" i="1"/>
  <c r="J24" i="1" s="1"/>
  <c r="I10" i="1"/>
  <c r="I24" i="1" s="1"/>
  <c r="H10" i="1"/>
  <c r="H24" i="1" s="1"/>
  <c r="G10" i="1"/>
  <c r="G24" i="1" s="1"/>
  <c r="F10" i="1"/>
  <c r="F24" i="1" s="1"/>
  <c r="E10" i="1"/>
  <c r="E24" i="1" s="1"/>
  <c r="D10" i="1"/>
  <c r="D24" i="1" s="1"/>
  <c r="C10" i="1"/>
  <c r="C24" i="1" s="1"/>
  <c r="C9" i="1"/>
  <c r="S19" i="13" l="1"/>
  <c r="S22" i="13"/>
  <c r="S21" i="13"/>
  <c r="E6" i="1"/>
  <c r="E21" i="1"/>
  <c r="E22" i="1" s="1"/>
  <c r="E29" i="1" s="1"/>
  <c r="J21" i="1"/>
  <c r="J22" i="1" s="1"/>
  <c r="J29" i="1" s="1"/>
  <c r="I29" i="1"/>
  <c r="G21" i="1"/>
  <c r="G22" i="1" s="1"/>
  <c r="G29" i="1" s="1"/>
  <c r="H21" i="1"/>
  <c r="H22" i="1" s="1"/>
  <c r="H29" i="1" s="1"/>
  <c r="C21" i="1"/>
  <c r="C22" i="1" s="1"/>
  <c r="C29" i="1" s="1"/>
  <c r="F21" i="1"/>
  <c r="F22" i="1" s="1"/>
  <c r="F29" i="1" s="1"/>
  <c r="D21" i="1"/>
  <c r="D22" i="1" s="1"/>
  <c r="D29" i="1" s="1"/>
  <c r="K21" i="1"/>
  <c r="K22" i="1" s="1"/>
  <c r="K29" i="1" s="1"/>
  <c r="C14" i="1"/>
  <c r="L11" i="1"/>
  <c r="M10" i="1"/>
  <c r="M24" i="1" s="1"/>
  <c r="S23" i="13" l="1"/>
  <c r="S26" i="13" s="1"/>
  <c r="S36" i="13" s="1"/>
  <c r="T18" i="13"/>
  <c r="T19" i="13" s="1"/>
  <c r="S35" i="13"/>
  <c r="S34" i="13"/>
  <c r="C15" i="1"/>
  <c r="C18" i="1"/>
  <c r="F6" i="1"/>
  <c r="L12" i="1"/>
  <c r="L21" i="1" s="1"/>
  <c r="L22" i="1" s="1"/>
  <c r="L29" i="1" s="1"/>
  <c r="M11" i="1"/>
  <c r="T21" i="13" l="1"/>
  <c r="T22" i="13"/>
  <c r="U18" i="13"/>
  <c r="U19" i="13" s="1"/>
  <c r="V18" i="13" s="1"/>
  <c r="U21" i="13"/>
  <c r="G6" i="1"/>
  <c r="M12" i="1"/>
  <c r="M21" i="1"/>
  <c r="M22" i="1" s="1"/>
  <c r="M29" i="1" s="1"/>
  <c r="N29" i="1" s="1"/>
  <c r="U22" i="13" l="1"/>
  <c r="T23" i="13"/>
  <c r="T26" i="13" s="1"/>
  <c r="T36" i="13" s="1"/>
  <c r="T35" i="13"/>
  <c r="T34" i="13"/>
  <c r="V22" i="13"/>
  <c r="V21" i="13"/>
  <c r="V19" i="13"/>
  <c r="V23" i="13" s="1"/>
  <c r="V26" i="13" s="1"/>
  <c r="U23" i="13"/>
  <c r="U26" i="13" s="1"/>
  <c r="H6" i="1"/>
  <c r="V35" i="13" l="1"/>
  <c r="V34" i="13"/>
  <c r="V36" i="13"/>
  <c r="U34" i="13"/>
  <c r="U36" i="13"/>
  <c r="U35" i="13"/>
  <c r="I6" i="1"/>
  <c r="J6" i="1" l="1"/>
  <c r="K6" i="1" l="1"/>
  <c r="L6" i="1" l="1"/>
  <c r="D5" i="2"/>
  <c r="C5" i="2"/>
  <c r="M6" i="1" l="1"/>
  <c r="D9" i="1"/>
  <c r="D14" i="1" l="1"/>
  <c r="D20" i="1" l="1"/>
  <c r="D18" i="1"/>
  <c r="E9" i="1"/>
  <c r="D15" i="1"/>
  <c r="E14" i="1" l="1"/>
  <c r="E20" i="1" l="1"/>
  <c r="E18" i="1"/>
  <c r="F9" i="1"/>
  <c r="E15" i="1"/>
  <c r="F14" i="1" l="1"/>
  <c r="F20" i="1" l="1"/>
  <c r="F18" i="1"/>
  <c r="G9" i="1"/>
  <c r="F15" i="1"/>
  <c r="G14" i="1" l="1"/>
  <c r="G20" i="1" l="1"/>
  <c r="G18" i="1"/>
  <c r="H9" i="1"/>
  <c r="G15" i="1"/>
  <c r="H14" i="1" l="1"/>
  <c r="H20" i="1" l="1"/>
  <c r="H18" i="1"/>
  <c r="I9" i="1"/>
  <c r="H15" i="1"/>
  <c r="I14" i="1" l="1"/>
  <c r="I18" i="1" s="1"/>
  <c r="I15" i="1" l="1"/>
  <c r="I20" i="1"/>
  <c r="J9" i="1"/>
  <c r="J14" i="1" l="1"/>
  <c r="J18" i="1" s="1"/>
  <c r="J15" i="1" l="1"/>
  <c r="J20" i="1"/>
  <c r="K9" i="1"/>
  <c r="K14" i="1" l="1"/>
  <c r="K18" i="1" s="1"/>
  <c r="K15" i="1" l="1"/>
  <c r="K20" i="1"/>
  <c r="L9" i="1"/>
  <c r="L14" i="1" l="1"/>
  <c r="L20" i="1" l="1"/>
  <c r="L18" i="1"/>
  <c r="L15" i="1"/>
  <c r="M9" i="1"/>
  <c r="M14" i="1" s="1"/>
  <c r="M18" i="1" s="1"/>
  <c r="M15" i="1" l="1"/>
  <c r="M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Andersson Hanna So</author>
  </authors>
  <commentList>
    <comment ref="D5" authorId="0" shapeId="0" xr:uid="{79870C47-08F7-4213-91D5-C80449644BD3}">
      <text>
        <r>
          <rPr>
            <b/>
            <sz val="9"/>
            <color indexed="81"/>
            <rFont val="Tahoma"/>
            <charset val="1"/>
          </rPr>
          <t>Andersson Hanna So:</t>
        </r>
        <r>
          <rPr>
            <sz val="9"/>
            <color indexed="81"/>
            <rFont val="Tahoma"/>
            <charset val="1"/>
          </rPr>
          <t xml:space="preserve">
startpunkt dec 2022
</t>
        </r>
      </text>
    </comment>
    <comment ref="C14" authorId="0" shapeId="0" xr:uid="{C88128C9-380B-4126-B261-5D3814C980C3}">
      <text>
        <r>
          <rPr>
            <b/>
            <sz val="9"/>
            <color indexed="81"/>
            <rFont val="Tahoma"/>
            <charset val="1"/>
          </rPr>
          <t>Andersson Hanna So:</t>
        </r>
        <r>
          <rPr>
            <sz val="9"/>
            <color indexed="81"/>
            <rFont val="Tahoma"/>
            <charset val="1"/>
          </rPr>
          <t xml:space="preserve">
antal år</t>
        </r>
      </text>
    </comment>
    <comment ref="C26" authorId="0" shapeId="0" xr:uid="{CBEF379E-A4A4-4E80-BE85-FBEADCD49B82}">
      <text>
        <r>
          <rPr>
            <b/>
            <sz val="9"/>
            <color indexed="81"/>
            <rFont val="Tahoma"/>
            <charset val="1"/>
          </rPr>
          <t>Andersson Hanna So:</t>
        </r>
        <r>
          <rPr>
            <sz val="9"/>
            <color indexed="81"/>
            <rFont val="Tahoma"/>
            <charset val="1"/>
          </rPr>
          <t xml:space="preserve">
ST räknas som 50% resurs</t>
        </r>
      </text>
    </comment>
    <comment ref="C28" authorId="0" shapeId="0" xr:uid="{84A5F768-8424-4287-8861-3810B6CF0B08}">
      <text>
        <r>
          <rPr>
            <b/>
            <sz val="9"/>
            <color indexed="81"/>
            <rFont val="Tahoma"/>
            <charset val="1"/>
          </rPr>
          <t>Andersson Hanna So:</t>
        </r>
        <r>
          <rPr>
            <sz val="9"/>
            <color indexed="81"/>
            <rFont val="Tahoma"/>
            <charset val="1"/>
          </rPr>
          <t xml:space="preserve">
ökning med 2000 invånare per år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Andersson Hanna So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Andersson Hanna So:</t>
        </r>
        <r>
          <rPr>
            <sz val="9"/>
            <color indexed="81"/>
            <rFont val="Tahoma"/>
            <charset val="1"/>
          </rPr>
          <t xml:space="preserve">
startpunkt dec 2022
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Andersson Hanna So:</t>
        </r>
        <r>
          <rPr>
            <sz val="9"/>
            <color indexed="81"/>
            <rFont val="Tahoma"/>
            <charset val="1"/>
          </rPr>
          <t xml:space="preserve">
antal år</t>
        </r>
      </text>
    </comment>
    <comment ref="C26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Andersson Hanna So:</t>
        </r>
        <r>
          <rPr>
            <sz val="9"/>
            <color indexed="81"/>
            <rFont val="Tahoma"/>
            <charset val="1"/>
          </rPr>
          <t xml:space="preserve">
ST räknas som 50% resurs</t>
        </r>
      </text>
    </comment>
    <comment ref="C28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Andersson Hanna So:</t>
        </r>
        <r>
          <rPr>
            <sz val="9"/>
            <color indexed="81"/>
            <rFont val="Tahoma"/>
            <charset val="1"/>
          </rPr>
          <t xml:space="preserve">
ökning med 2000 invånare per år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Nordén Johan</author>
    <author>Andersson Hanna So</author>
  </authors>
  <commentList>
    <comment ref="B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Nordén Johan:</t>
        </r>
        <r>
          <rPr>
            <sz val="9"/>
            <color indexed="81"/>
            <rFont val="Tahoma"/>
            <family val="2"/>
          </rPr>
          <t xml:space="preserve">
ST*0,5
Hyrläkare
Sidouppdrag
Underläkare*0,5
ca 100 extra tjänster</t>
        </r>
      </text>
    </comment>
    <comment ref="S21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Andersson Hanna So:</t>
        </r>
        <r>
          <rPr>
            <sz val="9"/>
            <color indexed="81"/>
            <rFont val="Tahoma"/>
            <family val="2"/>
          </rPr>
          <t xml:space="preserve">
snittlön 48 000 kr</t>
        </r>
      </text>
    </comment>
    <comment ref="S22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Andersson Hanna So:</t>
        </r>
        <r>
          <rPr>
            <sz val="9"/>
            <color indexed="81"/>
            <rFont val="Tahoma"/>
            <family val="2"/>
          </rPr>
          <t xml:space="preserve">
snittlön 35 000 kr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https://bi.lio.se/HR/Data Connections/HR Anställning.odc" keepAlive="1" name="HR Anställning" type="5" refreshedVersion="6" onlyUseConnectionFile="1" background="1" refreshOnLoad="1" saveData="1">
    <dbPr connection="Provider=MSOLAP.5;Integrated Security=SSPI;Persist Security Info=True;Initial Catalog=HR;Data Source=biprod-as\multi;MDX Compatibility=1;Safety Options=2;MDX Missing Member Mode=Error;Update Isolation Level=2" command="Anställning" commandType="1"/>
    <olapPr sendLocale="1" rowDrillCount="1000"/>
  </connection>
  <connection id="2" xr16:uid="{00000000-0015-0000-FFFF-FFFF01000000}" odcFile="https://bi.lio.se/HR/Data Connections/HR Frånvaro.odc" keepAlive="1" name="HR Frånvaro" type="5" refreshedVersion="6" onlyUseConnectionFile="1" background="1" refreshOnLoad="1" saveData="1">
    <dbPr connection="Provider=MSOLAP.5;Integrated Security=SSPI;Persist Security Info=True;Initial Catalog=HR;Data Source=biprod-as\multi;MDX Compatibility=1;Safety Options=2;MDX Missing Member Mode=Error;Update Isolation Level=2" command="Frånvaro" commandType="1"/>
    <olapPr sendLocale="1" rowDrillCount="1000"/>
  </connection>
</connections>
</file>

<file path=xl/sharedStrings.xml><?xml version="1.0" encoding="utf-8"?>
<sst xmlns="http://schemas.openxmlformats.org/spreadsheetml/2006/main" count="87" uniqueCount="59">
  <si>
    <t>ST färdiga under året</t>
  </si>
  <si>
    <t>Pensionsavgångar under året</t>
  </si>
  <si>
    <t>ca 20% av färdiga slutar</t>
  </si>
  <si>
    <t>Anställda spec.läk (heltidsmått) i slutet av året</t>
  </si>
  <si>
    <t>Specialistläkarprognos PVC´s vårdcentraler</t>
  </si>
  <si>
    <t>(ej Jourcentraler, digital vc, ej AMC)</t>
  </si>
  <si>
    <t>Antal listade per spec.läkare</t>
  </si>
  <si>
    <t>Listade</t>
  </si>
  <si>
    <t xml:space="preserve"> Antal spec. läkare</t>
  </si>
  <si>
    <t>ST Läkare</t>
  </si>
  <si>
    <t>Underläkare</t>
  </si>
  <si>
    <t>Professor</t>
  </si>
  <si>
    <t>Lektorat</t>
  </si>
  <si>
    <t>Verksamhets-chef</t>
  </si>
  <si>
    <t>MLA-tid</t>
  </si>
  <si>
    <t>Godkänd hyrlinje</t>
  </si>
  <si>
    <t>Antal listade per läkare justerat</t>
  </si>
  <si>
    <t>Behov av handlingsplan "extra resurser"</t>
  </si>
  <si>
    <t>hyrläkare 
utfasat</t>
  </si>
  <si>
    <t>Spec.läkare, ST-läkare och underläkare *0,5
Sidouppdrag, Hyrläkare</t>
  </si>
  <si>
    <t>Inget behov av 
underläkare</t>
  </si>
  <si>
    <t xml:space="preserve">Antal listade </t>
  </si>
  <si>
    <t>Antal listade</t>
  </si>
  <si>
    <t>Befolkningsökning</t>
  </si>
  <si>
    <t>Anställda spec.läk (ssgr 85%) i början av året</t>
  </si>
  <si>
    <t>Ökning specläkare</t>
  </si>
  <si>
    <t>Kostnad (snittlön 75 000 kr)</t>
  </si>
  <si>
    <t>Hyrläkare (17 st)</t>
  </si>
  <si>
    <t>Minskning underläkare (36 000 kr)</t>
  </si>
  <si>
    <t>Pensionsavgångar (85 000 kr)</t>
  </si>
  <si>
    <t>Summa:</t>
  </si>
  <si>
    <t>Specialister</t>
  </si>
  <si>
    <t>ST-läkare</t>
  </si>
  <si>
    <t>Hyrlinjer</t>
  </si>
  <si>
    <t>Specialistläkare privata</t>
  </si>
  <si>
    <t>Utökning</t>
  </si>
  <si>
    <t>Färdiga ST</t>
  </si>
  <si>
    <t>Personalrörlighet via pension PVC</t>
  </si>
  <si>
    <t>Personalrörlighet via pension privata</t>
  </si>
  <si>
    <t>Invånare</t>
  </si>
  <si>
    <t>Summa antal spec</t>
  </si>
  <si>
    <t>Specialistläkarprognos Primärvården</t>
  </si>
  <si>
    <t>Kriterier</t>
  </si>
  <si>
    <t xml:space="preserve">Icke-kliniskt arbete </t>
  </si>
  <si>
    <t>Frånvaro</t>
  </si>
  <si>
    <t>Antal listade per läkare (spec.läkare och ST) exl övergångslösning</t>
  </si>
  <si>
    <t>Antal listade per läkare (spec.läkare och ST) inkl övergångslösning</t>
  </si>
  <si>
    <t xml:space="preserve">Frånvaro </t>
  </si>
  <si>
    <t>Summa ST-läkare</t>
  </si>
  <si>
    <t>ST-läkare (AMC 2022)</t>
  </si>
  <si>
    <t>Andra specialistläkare</t>
  </si>
  <si>
    <t>Avgår ST</t>
  </si>
  <si>
    <t>Personalrörlighet exkl. pension exkl ST</t>
  </si>
  <si>
    <t>Icke-kliniskt arbete, MLA, Chefsuppdrag, Forskning</t>
  </si>
  <si>
    <t>Underskott heltidsekvivalenter</t>
  </si>
  <si>
    <t>Specialistläkare allmänmedicin Östergötland  dec 2022</t>
  </si>
  <si>
    <r>
      <rPr>
        <b/>
        <sz val="11"/>
        <rFont val="Calibri"/>
        <family val="2"/>
        <scheme val="minor"/>
      </rPr>
      <t>Summa</t>
    </r>
    <r>
      <rPr>
        <sz val="11"/>
        <rFont val="Calibri"/>
        <family val="2"/>
        <scheme val="minor"/>
      </rPr>
      <t xml:space="preserve"> Specialistläkare allmänmedicin och tillgängliga ST i Östergötland, exklusive icke-kliniskt arbete och frånvaro</t>
    </r>
  </si>
  <si>
    <t>Specialistläkare allmänmedicin Östergötland dec 2022</t>
  </si>
  <si>
    <t>Anställda spec.läk (heltidsmått)  i slutet av 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</si>
</sst>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kr&quot;_-;\-* #,##0.00\ &quot;kr&quot;_-;_-* &quot;-&quot;??\ &quot;kr&quot;_-;_-@_-"/>
    <numFmt numFmtId="164" formatCode="0.0"/>
    <numFmt numFmtId="165" formatCode="0.0%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3" fontId="1" fillId="0" borderId="0" xfId="0" applyNumberFormat="1" applyFont="1"/>
    <xf numFmtId="0" fontId="6" fillId="0" borderId="0" xfId="0" applyFont="1"/>
    <xf numFmtId="3" fontId="0" fillId="2" borderId="1" xfId="0" applyNumberFormat="1" applyFill="1" applyBorder="1" applyAlignment="1">
      <alignment horizontal="center"/>
    </xf>
    <xf numFmtId="9" fontId="0" fillId="0" borderId="0" xfId="0" applyNumberFormat="1"/>
    <xf numFmtId="0" fontId="0" fillId="0" borderId="7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8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8" xfId="0" applyFont="1" applyBorder="1"/>
    <xf numFmtId="3" fontId="0" fillId="0" borderId="0" xfId="0" applyNumberFormat="1" applyAlignment="1">
      <alignment horizontal="center"/>
    </xf>
    <xf numFmtId="3" fontId="0" fillId="0" borderId="4" xfId="0" applyNumberFormat="1" applyBorder="1" applyAlignment="1">
      <alignment horizontal="center"/>
    </xf>
    <xf numFmtId="0" fontId="6" fillId="0" borderId="9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1" fontId="3" fillId="0" borderId="0" xfId="0" applyNumberFormat="1" applyFont="1"/>
    <xf numFmtId="3" fontId="12" fillId="0" borderId="0" xfId="0" applyNumberFormat="1" applyFont="1"/>
    <xf numFmtId="3" fontId="12" fillId="0" borderId="4" xfId="0" applyNumberFormat="1" applyFont="1" applyBorder="1"/>
    <xf numFmtId="1" fontId="4" fillId="0" borderId="0" xfId="0" applyNumberFormat="1" applyFont="1"/>
    <xf numFmtId="3" fontId="7" fillId="0" borderId="0" xfId="0" applyNumberFormat="1" applyFont="1"/>
    <xf numFmtId="3" fontId="7" fillId="0" borderId="4" xfId="0" applyNumberFormat="1" applyFont="1" applyBorder="1"/>
    <xf numFmtId="3" fontId="0" fillId="2" borderId="1" xfId="0" applyNumberFormat="1" applyFill="1" applyBorder="1"/>
    <xf numFmtId="3" fontId="8" fillId="0" borderId="0" xfId="0" applyNumberFormat="1" applyFont="1"/>
    <xf numFmtId="1" fontId="5" fillId="0" borderId="0" xfId="0" applyNumberFormat="1" applyFont="1"/>
    <xf numFmtId="3" fontId="0" fillId="0" borderId="0" xfId="0" applyNumberFormat="1"/>
    <xf numFmtId="0" fontId="1" fillId="2" borderId="8" xfId="0" applyFont="1" applyFill="1" applyBorder="1"/>
    <xf numFmtId="0" fontId="13" fillId="0" borderId="0" xfId="0" applyFont="1"/>
    <xf numFmtId="1" fontId="0" fillId="0" borderId="0" xfId="0" applyNumberFormat="1"/>
    <xf numFmtId="3" fontId="12" fillId="0" borderId="11" xfId="0" applyNumberFormat="1" applyFont="1" applyBorder="1"/>
    <xf numFmtId="164" fontId="0" fillId="0" borderId="0" xfId="0" applyNumberFormat="1"/>
    <xf numFmtId="1" fontId="4" fillId="0" borderId="11" xfId="0" applyNumberFormat="1" applyFont="1" applyBorder="1"/>
    <xf numFmtId="0" fontId="1" fillId="0" borderId="12" xfId="0" applyFont="1" applyBorder="1" applyAlignment="1">
      <alignment horizontal="left" wrapText="1"/>
    </xf>
    <xf numFmtId="1" fontId="3" fillId="0" borderId="13" xfId="0" applyNumberFormat="1" applyFont="1" applyBorder="1"/>
    <xf numFmtId="3" fontId="12" fillId="0" borderId="13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wrapText="1"/>
    </xf>
    <xf numFmtId="0" fontId="0" fillId="0" borderId="4" xfId="0" applyBorder="1"/>
    <xf numFmtId="0" fontId="7" fillId="0" borderId="15" xfId="0" applyFont="1" applyBorder="1" applyAlignment="1">
      <alignment wrapText="1"/>
    </xf>
    <xf numFmtId="3" fontId="7" fillId="0" borderId="11" xfId="0" applyNumberFormat="1" applyFont="1" applyBorder="1"/>
    <xf numFmtId="1" fontId="3" fillId="0" borderId="18" xfId="0" applyNumberFormat="1" applyFont="1" applyBorder="1"/>
    <xf numFmtId="3" fontId="12" fillId="0" borderId="1" xfId="0" applyNumberFormat="1" applyFont="1" applyBorder="1"/>
    <xf numFmtId="1" fontId="5" fillId="0" borderId="13" xfId="0" applyNumberFormat="1" applyFont="1" applyBorder="1"/>
    <xf numFmtId="10" fontId="0" fillId="0" borderId="0" xfId="0" applyNumberFormat="1"/>
    <xf numFmtId="9" fontId="4" fillId="0" borderId="11" xfId="2" applyFont="1" applyFill="1" applyBorder="1" applyAlignment="1"/>
    <xf numFmtId="9" fontId="7" fillId="0" borderId="1" xfId="2" applyFont="1" applyFill="1" applyBorder="1" applyAlignment="1"/>
    <xf numFmtId="0" fontId="0" fillId="0" borderId="20" xfId="0" applyBorder="1"/>
    <xf numFmtId="1" fontId="4" fillId="0" borderId="22" xfId="0" applyNumberFormat="1" applyFont="1" applyBorder="1"/>
    <xf numFmtId="3" fontId="7" fillId="0" borderId="22" xfId="0" applyNumberFormat="1" applyFont="1" applyBorder="1"/>
    <xf numFmtId="3" fontId="12" fillId="0" borderId="22" xfId="0" applyNumberFormat="1" applyFont="1" applyBorder="1"/>
    <xf numFmtId="1" fontId="3" fillId="0" borderId="23" xfId="0" applyNumberFormat="1" applyFont="1" applyBorder="1"/>
    <xf numFmtId="0" fontId="7" fillId="0" borderId="25" xfId="0" applyFont="1" applyBorder="1"/>
    <xf numFmtId="1" fontId="4" fillId="0" borderId="26" xfId="0" applyNumberFormat="1" applyFont="1" applyBorder="1"/>
    <xf numFmtId="1" fontId="4" fillId="0" borderId="27" xfId="0" applyNumberFormat="1" applyFont="1" applyBorder="1"/>
    <xf numFmtId="9" fontId="7" fillId="4" borderId="11" xfId="2" applyFont="1" applyFill="1" applyBorder="1" applyAlignment="1"/>
    <xf numFmtId="0" fontId="1" fillId="0" borderId="16" xfId="0" applyFont="1" applyBorder="1"/>
    <xf numFmtId="0" fontId="1" fillId="0" borderId="17" xfId="0" applyFont="1" applyBorder="1"/>
    <xf numFmtId="1" fontId="1" fillId="0" borderId="17" xfId="0" applyNumberFormat="1" applyFont="1" applyBorder="1"/>
    <xf numFmtId="165" fontId="7" fillId="4" borderId="11" xfId="2" applyNumberFormat="1" applyFont="1" applyFill="1" applyBorder="1" applyAlignment="1"/>
    <xf numFmtId="3" fontId="7" fillId="4" borderId="11" xfId="0" applyNumberFormat="1" applyFont="1" applyFill="1" applyBorder="1"/>
    <xf numFmtId="3" fontId="7" fillId="4" borderId="22" xfId="0" applyNumberFormat="1" applyFont="1" applyFill="1" applyBorder="1"/>
    <xf numFmtId="0" fontId="0" fillId="4" borderId="21" xfId="0" applyFill="1" applyBorder="1"/>
    <xf numFmtId="3" fontId="0" fillId="0" borderId="0" xfId="1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0" fillId="5" borderId="0" xfId="0" applyNumberFormat="1" applyFill="1"/>
    <xf numFmtId="0" fontId="7" fillId="0" borderId="29" xfId="0" applyFont="1" applyBorder="1" applyAlignment="1">
      <alignment wrapText="1"/>
    </xf>
    <xf numFmtId="0" fontId="16" fillId="0" borderId="3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6" fillId="4" borderId="29" xfId="0" applyFont="1" applyFill="1" applyBorder="1" applyAlignment="1">
      <alignment horizontal="left" wrapText="1"/>
    </xf>
    <xf numFmtId="0" fontId="0" fillId="4" borderId="29" xfId="0" applyFill="1" applyBorder="1" applyAlignment="1">
      <alignment wrapText="1"/>
    </xf>
    <xf numFmtId="9" fontId="7" fillId="4" borderId="17" xfId="2" applyFont="1" applyFill="1" applyBorder="1" applyAlignment="1"/>
    <xf numFmtId="3" fontId="7" fillId="4" borderId="17" xfId="0" applyNumberFormat="1" applyFont="1" applyFill="1" applyBorder="1"/>
    <xf numFmtId="3" fontId="7" fillId="4" borderId="24" xfId="0" applyNumberFormat="1" applyFont="1" applyFill="1" applyBorder="1"/>
    <xf numFmtId="3" fontId="12" fillId="0" borderId="32" xfId="0" applyNumberFormat="1" applyFont="1" applyBorder="1"/>
    <xf numFmtId="3" fontId="0" fillId="4" borderId="28" xfId="0" applyNumberFormat="1" applyFill="1" applyBorder="1" applyAlignment="1">
      <alignment wrapText="1"/>
    </xf>
    <xf numFmtId="3" fontId="0" fillId="4" borderId="18" xfId="1" applyNumberFormat="1" applyFont="1" applyFill="1" applyBorder="1" applyAlignment="1">
      <alignment horizontal="center"/>
    </xf>
    <xf numFmtId="3" fontId="7" fillId="4" borderId="18" xfId="0" applyNumberFormat="1" applyFont="1" applyFill="1" applyBorder="1"/>
    <xf numFmtId="3" fontId="0" fillId="4" borderId="16" xfId="0" applyNumberFormat="1" applyFill="1" applyBorder="1" applyAlignment="1">
      <alignment wrapText="1"/>
    </xf>
    <xf numFmtId="3" fontId="0" fillId="4" borderId="17" xfId="1" applyNumberFormat="1" applyFont="1" applyFill="1" applyBorder="1" applyAlignment="1">
      <alignment horizontal="center"/>
    </xf>
    <xf numFmtId="0" fontId="0" fillId="3" borderId="33" xfId="0" applyFill="1" applyBorder="1" applyAlignment="1">
      <alignment wrapText="1"/>
    </xf>
    <xf numFmtId="166" fontId="0" fillId="0" borderId="34" xfId="1" applyNumberFormat="1" applyFont="1" applyFill="1" applyBorder="1" applyAlignment="1">
      <alignment horizontal="center"/>
    </xf>
    <xf numFmtId="3" fontId="7" fillId="0" borderId="34" xfId="0" applyNumberFormat="1" applyFont="1" applyBorder="1"/>
    <xf numFmtId="3" fontId="7" fillId="0" borderId="35" xfId="0" applyNumberFormat="1" applyFont="1" applyBorder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6" borderId="0" xfId="0" applyNumberFormat="1" applyFill="1" applyAlignment="1">
      <alignment wrapText="1"/>
    </xf>
    <xf numFmtId="0" fontId="0" fillId="0" borderId="28" xfId="0" applyBorder="1" applyAlignment="1">
      <alignment wrapText="1"/>
    </xf>
    <xf numFmtId="9" fontId="7" fillId="0" borderId="18" xfId="2" applyFont="1" applyFill="1" applyBorder="1" applyAlignment="1"/>
    <xf numFmtId="1" fontId="4" fillId="0" borderId="18" xfId="0" applyNumberFormat="1" applyFont="1" applyBorder="1"/>
    <xf numFmtId="1" fontId="4" fillId="0" borderId="23" xfId="0" applyNumberFormat="1" applyFont="1" applyBorder="1"/>
    <xf numFmtId="0" fontId="0" fillId="0" borderId="15" xfId="0" applyBorder="1"/>
    <xf numFmtId="9" fontId="7" fillId="0" borderId="11" xfId="2" applyFont="1" applyFill="1" applyBorder="1" applyAlignment="1"/>
    <xf numFmtId="3" fontId="0" fillId="4" borderId="11" xfId="1" applyNumberFormat="1" applyFont="1" applyFill="1" applyBorder="1" applyAlignment="1">
      <alignment horizontal="center"/>
    </xf>
    <xf numFmtId="3" fontId="0" fillId="4" borderId="15" xfId="0" applyNumberFormat="1" applyFill="1" applyBorder="1" applyAlignment="1">
      <alignment wrapText="1"/>
    </xf>
    <xf numFmtId="1" fontId="3" fillId="4" borderId="13" xfId="0" applyNumberFormat="1" applyFont="1" applyFill="1" applyBorder="1"/>
    <xf numFmtId="1" fontId="4" fillId="7" borderId="26" xfId="0" applyNumberFormat="1" applyFont="1" applyFill="1" applyBorder="1"/>
    <xf numFmtId="1" fontId="19" fillId="0" borderId="11" xfId="0" applyNumberFormat="1" applyFont="1" applyBorder="1"/>
    <xf numFmtId="3" fontId="19" fillId="0" borderId="0" xfId="0" applyNumberFormat="1" applyFont="1"/>
    <xf numFmtId="0" fontId="7" fillId="0" borderId="12" xfId="0" applyFont="1" applyBorder="1" applyAlignment="1">
      <alignment wrapText="1"/>
    </xf>
    <xf numFmtId="0" fontId="12" fillId="0" borderId="31" xfId="0" applyFont="1" applyBorder="1"/>
    <xf numFmtId="0" fontId="7" fillId="3" borderId="19" xfId="0" applyFont="1" applyFill="1" applyBorder="1" applyAlignment="1">
      <alignment wrapText="1"/>
    </xf>
  </cellXfs>
  <cellStyles count="3">
    <cellStyle name="Normal" xfId="0" builtinId="0"/>
    <cellStyle name="Procent" xfId="2" builtinId="5"/>
    <cellStyle name="Valuta" xfId="1" builtinId="4"/>
  </cellStyles>
  <dxfs count="12">
    <dxf>
      <fill>
        <patternFill patternType="solid">
          <fgColor auto="1"/>
          <bgColor rgb="FFFFFFFF"/>
        </patternFill>
      </fill>
      <border>
        <top style="thin">
          <color rgb="FF6EB7E4"/>
        </top>
        <bottom style="thin">
          <color rgb="FF6EB7E4"/>
        </bottom>
      </border>
    </dxf>
    <dxf>
      <fill>
        <patternFill patternType="solid">
          <fgColor auto="1"/>
          <bgColor rgb="FFFFFFFF"/>
        </patternFill>
      </fill>
      <border>
        <top style="thin">
          <color rgb="FF6EB7E4"/>
        </top>
        <bottom style="thin">
          <color rgb="FF6EB7E4"/>
        </bottom>
      </border>
    </dxf>
    <dxf>
      <font>
        <b/>
        <i val="0"/>
        <color auto="1"/>
      </font>
      <fill>
        <patternFill>
          <bgColor theme="4" tint="0.79998168889431442"/>
        </patternFill>
      </fill>
      <border>
        <bottom style="thin">
          <color rgb="FFB0D8F0"/>
        </bottom>
      </border>
    </dxf>
    <dxf>
      <font>
        <b/>
        <i val="0"/>
        <color auto="1"/>
      </font>
      <fill>
        <patternFill patternType="solid">
          <fgColor auto="1"/>
          <bgColor theme="4" tint="0.79998168889431442"/>
        </patternFill>
      </fill>
      <border>
        <bottom style="thin">
          <color rgb="FFB0D8F0"/>
        </bottom>
        <horizontal style="thin">
          <color rgb="FFB0D8F0"/>
        </horizontal>
      </border>
    </dxf>
    <dxf>
      <border>
        <bottom style="thin">
          <color rgb="FF6EB7E4"/>
        </bottom>
      </border>
    </dxf>
    <dxf>
      <font>
        <b/>
        <color theme="1"/>
      </font>
    </dxf>
    <dxf>
      <font>
        <color theme="0"/>
      </font>
      <fill>
        <patternFill patternType="solid">
          <fgColor auto="1"/>
          <bgColor rgb="FFFFFFFF"/>
        </patternFill>
      </fill>
    </dxf>
    <dxf>
      <border>
        <left style="thin">
          <color rgb="FF6EB7E4"/>
        </left>
        <right style="thin">
          <color rgb="FF6EB7E4"/>
        </right>
      </border>
    </dxf>
    <dxf>
      <border>
        <top style="thin">
          <color rgb="FF6EB7E4"/>
        </top>
        <bottom style="thin">
          <color rgb="FF6EB7E4"/>
        </bottom>
        <horizontal style="thin">
          <color rgb="FF6EB7E4"/>
        </horizontal>
      </border>
    </dxf>
    <dxf>
      <font>
        <b/>
        <color theme="1"/>
      </font>
      <border>
        <top style="double">
          <color rgb="FF6EB7E4"/>
        </top>
        <bottom style="double">
          <color rgb="FF6EB7E4"/>
        </bottom>
      </border>
    </dxf>
    <dxf>
      <font>
        <b/>
        <i val="0"/>
        <color auto="1"/>
      </font>
      <fill>
        <patternFill patternType="solid">
          <fgColor rgb="FFB0D8F0"/>
          <bgColor rgb="FFB0D8F0"/>
        </patternFill>
      </fill>
      <border>
        <top style="thin">
          <color rgb="FF6EB7E4"/>
        </top>
        <bottom style="thin">
          <color rgb="FF6EB7E4"/>
        </bottom>
      </border>
    </dxf>
    <dxf>
      <font>
        <color theme="1"/>
      </font>
      <border>
        <horizontal style="thin">
          <color rgb="FFB0D8F0"/>
        </horizontal>
      </border>
    </dxf>
  </dxfs>
  <tableStyles count="1" defaultTableStyle="TableStyleMedium2" defaultPivotStyle="PivotStyleLight16">
    <tableStyle name="Ruben" table="0" count="12" xr9:uid="{00000000-0011-0000-FFFF-FFFF00000000}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D46BF-068E-45D7-A989-E327548EE178}">
  <dimension ref="A1:Y37"/>
  <sheetViews>
    <sheetView zoomScale="50" zoomScaleNormal="50" workbookViewId="0">
      <pane ySplit="5" topLeftCell="A10" activePane="bottomLeft" state="frozen"/>
      <selection pane="bottomLeft" activeCell="AA23" sqref="AA23"/>
    </sheetView>
  </sheetViews>
  <sheetFormatPr defaultRowHeight="14.5" x14ac:dyDescent="0.35"/>
  <cols>
    <col min="1" max="1" width="5.81640625" customWidth="1"/>
    <col min="2" max="2" width="61.81640625" customWidth="1"/>
    <col min="3" max="3" width="8.1796875" customWidth="1"/>
    <col min="4" max="4" width="8.26953125" bestFit="1" customWidth="1"/>
    <col min="5" max="6" width="8.453125" customWidth="1"/>
    <col min="7" max="8" width="8.1796875" customWidth="1"/>
    <col min="9" max="9" width="8.453125" customWidth="1"/>
    <col min="10" max="11" width="8.26953125" bestFit="1" customWidth="1"/>
    <col min="12" max="12" width="9.1796875" customWidth="1"/>
    <col min="13" max="14" width="8.26953125" bestFit="1" customWidth="1"/>
    <col min="15" max="22" width="11.453125" customWidth="1"/>
    <col min="23" max="23" width="12" customWidth="1"/>
  </cols>
  <sheetData>
    <row r="1" spans="1:25" ht="21" x14ac:dyDescent="0.5">
      <c r="A1" s="1" t="s">
        <v>41</v>
      </c>
    </row>
    <row r="2" spans="1:25" x14ac:dyDescent="0.35">
      <c r="K2" s="5"/>
    </row>
    <row r="3" spans="1:25" x14ac:dyDescent="0.35">
      <c r="L3" s="34"/>
    </row>
    <row r="4" spans="1:25" x14ac:dyDescent="0.3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5" thickBot="1" x14ac:dyDescent="0.4">
      <c r="C5" s="11" t="s">
        <v>42</v>
      </c>
      <c r="D5" s="11">
        <v>2022</v>
      </c>
      <c r="E5" s="12">
        <v>2023</v>
      </c>
      <c r="F5" s="12">
        <v>2024</v>
      </c>
      <c r="G5" s="12">
        <v>2025</v>
      </c>
      <c r="H5" s="12">
        <v>2026</v>
      </c>
      <c r="I5" s="12">
        <v>2027</v>
      </c>
      <c r="J5" s="12">
        <v>2028</v>
      </c>
      <c r="K5" s="12">
        <v>2029</v>
      </c>
      <c r="L5" s="12">
        <v>2030</v>
      </c>
      <c r="M5" s="12">
        <v>2031</v>
      </c>
      <c r="N5" s="12">
        <v>2032</v>
      </c>
      <c r="O5" s="12">
        <v>2033</v>
      </c>
      <c r="P5" s="12">
        <v>2034</v>
      </c>
      <c r="Q5" s="12">
        <v>2035</v>
      </c>
      <c r="R5" s="12">
        <v>2036</v>
      </c>
      <c r="S5" s="12">
        <v>2037</v>
      </c>
      <c r="T5" s="12">
        <v>2038</v>
      </c>
      <c r="U5" s="12">
        <v>2039</v>
      </c>
      <c r="V5" s="12">
        <v>2040</v>
      </c>
    </row>
    <row r="6" spans="1:25" x14ac:dyDescent="0.35">
      <c r="A6" s="5"/>
      <c r="B6" s="38" t="s">
        <v>49</v>
      </c>
      <c r="C6" s="47"/>
      <c r="D6" s="47">
        <v>145</v>
      </c>
      <c r="E6" s="47">
        <f>D6+E7</f>
        <v>160</v>
      </c>
      <c r="F6" s="47">
        <f>E6+F7</f>
        <v>175</v>
      </c>
      <c r="G6" s="47">
        <f>F6+G7</f>
        <v>190</v>
      </c>
      <c r="H6" s="47">
        <f>G6+H7</f>
        <v>190</v>
      </c>
      <c r="I6" s="47">
        <f t="shared" ref="I6:V6" si="0">H6+I7</f>
        <v>190</v>
      </c>
      <c r="J6" s="47">
        <f>I6+J7</f>
        <v>190</v>
      </c>
      <c r="K6" s="47">
        <f t="shared" si="0"/>
        <v>190</v>
      </c>
      <c r="L6" s="47">
        <f t="shared" si="0"/>
        <v>190</v>
      </c>
      <c r="M6" s="47">
        <f t="shared" si="0"/>
        <v>190</v>
      </c>
      <c r="N6" s="47">
        <f t="shared" si="0"/>
        <v>190</v>
      </c>
      <c r="O6" s="47">
        <f t="shared" si="0"/>
        <v>190</v>
      </c>
      <c r="P6" s="47">
        <f t="shared" si="0"/>
        <v>190</v>
      </c>
      <c r="Q6" s="47">
        <f t="shared" si="0"/>
        <v>190</v>
      </c>
      <c r="R6" s="47">
        <f t="shared" si="0"/>
        <v>190</v>
      </c>
      <c r="S6" s="47">
        <f t="shared" si="0"/>
        <v>190</v>
      </c>
      <c r="T6" s="47">
        <f t="shared" si="0"/>
        <v>190</v>
      </c>
      <c r="U6" s="47">
        <f t="shared" si="0"/>
        <v>190</v>
      </c>
      <c r="V6" s="57">
        <f t="shared" si="0"/>
        <v>190</v>
      </c>
    </row>
    <row r="7" spans="1:25" ht="15" thickBot="1" x14ac:dyDescent="0.4">
      <c r="A7" s="34"/>
      <c r="B7" s="58" t="s">
        <v>35</v>
      </c>
      <c r="C7" s="59">
        <v>0</v>
      </c>
      <c r="D7" s="59"/>
      <c r="E7" s="103">
        <v>15</v>
      </c>
      <c r="F7" s="103">
        <v>15</v>
      </c>
      <c r="G7" s="103">
        <v>15</v>
      </c>
      <c r="H7" s="103">
        <v>0</v>
      </c>
      <c r="I7" s="103">
        <v>0</v>
      </c>
      <c r="J7" s="59"/>
      <c r="K7" s="59">
        <f t="shared" ref="K7:V7" si="1">$C$7</f>
        <v>0</v>
      </c>
      <c r="L7" s="59">
        <f t="shared" si="1"/>
        <v>0</v>
      </c>
      <c r="M7" s="59">
        <f t="shared" si="1"/>
        <v>0</v>
      </c>
      <c r="N7" s="59">
        <f t="shared" si="1"/>
        <v>0</v>
      </c>
      <c r="O7" s="59">
        <f t="shared" si="1"/>
        <v>0</v>
      </c>
      <c r="P7" s="59">
        <f t="shared" si="1"/>
        <v>0</v>
      </c>
      <c r="Q7" s="59">
        <f t="shared" si="1"/>
        <v>0</v>
      </c>
      <c r="R7" s="59">
        <f t="shared" si="1"/>
        <v>0</v>
      </c>
      <c r="S7" s="59">
        <f t="shared" si="1"/>
        <v>0</v>
      </c>
      <c r="T7" s="59">
        <f t="shared" si="1"/>
        <v>0</v>
      </c>
      <c r="U7" s="59">
        <f t="shared" si="1"/>
        <v>0</v>
      </c>
      <c r="V7" s="60">
        <f t="shared" si="1"/>
        <v>0</v>
      </c>
    </row>
    <row r="8" spans="1:25" x14ac:dyDescent="0.35">
      <c r="A8" s="34"/>
      <c r="B8" s="94" t="s">
        <v>47</v>
      </c>
      <c r="C8" s="95">
        <v>0.2</v>
      </c>
      <c r="D8" s="96">
        <f>-$C$8*D6</f>
        <v>-29</v>
      </c>
      <c r="E8" s="96">
        <f>-$C$8*E6</f>
        <v>-32</v>
      </c>
      <c r="F8" s="96">
        <f t="shared" ref="F8:V8" si="2">-$C$8*F6</f>
        <v>-35</v>
      </c>
      <c r="G8" s="96">
        <f t="shared" si="2"/>
        <v>-38</v>
      </c>
      <c r="H8" s="96">
        <f t="shared" si="2"/>
        <v>-38</v>
      </c>
      <c r="I8" s="96">
        <f t="shared" si="2"/>
        <v>-38</v>
      </c>
      <c r="J8" s="96">
        <f t="shared" si="2"/>
        <v>-38</v>
      </c>
      <c r="K8" s="96">
        <f>-$C$8*K6</f>
        <v>-38</v>
      </c>
      <c r="L8" s="96">
        <f>-$C$8*L6</f>
        <v>-38</v>
      </c>
      <c r="M8" s="96">
        <f t="shared" si="2"/>
        <v>-38</v>
      </c>
      <c r="N8" s="96">
        <f t="shared" si="2"/>
        <v>-38</v>
      </c>
      <c r="O8" s="96">
        <f t="shared" si="2"/>
        <v>-38</v>
      </c>
      <c r="P8" s="96">
        <f t="shared" si="2"/>
        <v>-38</v>
      </c>
      <c r="Q8" s="96">
        <f t="shared" si="2"/>
        <v>-38</v>
      </c>
      <c r="R8" s="96">
        <f t="shared" si="2"/>
        <v>-38</v>
      </c>
      <c r="S8" s="96">
        <f t="shared" si="2"/>
        <v>-38</v>
      </c>
      <c r="T8" s="96">
        <f t="shared" si="2"/>
        <v>-38</v>
      </c>
      <c r="U8" s="96">
        <f t="shared" si="2"/>
        <v>-38</v>
      </c>
      <c r="V8" s="97">
        <f t="shared" si="2"/>
        <v>-38</v>
      </c>
    </row>
    <row r="9" spans="1:25" x14ac:dyDescent="0.35">
      <c r="A9" s="34"/>
      <c r="B9" s="98" t="s">
        <v>43</v>
      </c>
      <c r="C9" s="99">
        <v>0</v>
      </c>
      <c r="D9" s="37">
        <f>-$C$9*D6</f>
        <v>0</v>
      </c>
      <c r="E9" s="37">
        <f t="shared" ref="E9:V9" si="3">-$C$9*E6</f>
        <v>0</v>
      </c>
      <c r="F9" s="37">
        <f t="shared" si="3"/>
        <v>0</v>
      </c>
      <c r="G9" s="37">
        <f t="shared" si="3"/>
        <v>0</v>
      </c>
      <c r="H9" s="37">
        <f t="shared" si="3"/>
        <v>0</v>
      </c>
      <c r="I9" s="37">
        <f t="shared" si="3"/>
        <v>0</v>
      </c>
      <c r="J9" s="37">
        <f t="shared" si="3"/>
        <v>0</v>
      </c>
      <c r="K9" s="37">
        <f t="shared" si="3"/>
        <v>0</v>
      </c>
      <c r="L9" s="37">
        <f t="shared" si="3"/>
        <v>0</v>
      </c>
      <c r="M9" s="37">
        <f t="shared" si="3"/>
        <v>0</v>
      </c>
      <c r="N9" s="37">
        <f t="shared" si="3"/>
        <v>0</v>
      </c>
      <c r="O9" s="37">
        <f t="shared" si="3"/>
        <v>0</v>
      </c>
      <c r="P9" s="37">
        <f t="shared" si="3"/>
        <v>0</v>
      </c>
      <c r="Q9" s="37">
        <f t="shared" si="3"/>
        <v>0</v>
      </c>
      <c r="R9" s="37">
        <f t="shared" si="3"/>
        <v>0</v>
      </c>
      <c r="S9" s="37">
        <f t="shared" si="3"/>
        <v>0</v>
      </c>
      <c r="T9" s="37">
        <f t="shared" si="3"/>
        <v>0</v>
      </c>
      <c r="U9" s="37">
        <f t="shared" si="3"/>
        <v>0</v>
      </c>
      <c r="V9" s="54">
        <f t="shared" si="3"/>
        <v>0</v>
      </c>
    </row>
    <row r="10" spans="1:25" ht="15" thickBot="1" x14ac:dyDescent="0.4">
      <c r="B10" s="62" t="s">
        <v>48</v>
      </c>
      <c r="C10" s="63"/>
      <c r="D10" s="64">
        <f>D6+D8</f>
        <v>116</v>
      </c>
      <c r="E10" s="64">
        <f>E6+E8</f>
        <v>128</v>
      </c>
      <c r="F10" s="64">
        <f>F6+F8</f>
        <v>140</v>
      </c>
      <c r="G10" s="64">
        <f>G6+G8</f>
        <v>152</v>
      </c>
      <c r="H10" s="64">
        <f t="shared" ref="H10:V10" si="4">H6+H8</f>
        <v>152</v>
      </c>
      <c r="I10" s="64">
        <f t="shared" si="4"/>
        <v>152</v>
      </c>
      <c r="J10" s="64">
        <f>J6+J8</f>
        <v>152</v>
      </c>
      <c r="K10" s="64">
        <f t="shared" si="4"/>
        <v>152</v>
      </c>
      <c r="L10" s="64">
        <f t="shared" si="4"/>
        <v>152</v>
      </c>
      <c r="M10" s="64">
        <f t="shared" si="4"/>
        <v>152</v>
      </c>
      <c r="N10" s="64">
        <f t="shared" si="4"/>
        <v>152</v>
      </c>
      <c r="O10" s="64">
        <f t="shared" si="4"/>
        <v>152</v>
      </c>
      <c r="P10" s="64">
        <f t="shared" si="4"/>
        <v>152</v>
      </c>
      <c r="Q10" s="64">
        <f t="shared" si="4"/>
        <v>152</v>
      </c>
      <c r="R10" s="64">
        <f t="shared" si="4"/>
        <v>152</v>
      </c>
      <c r="S10" s="64">
        <f t="shared" si="4"/>
        <v>152</v>
      </c>
      <c r="T10" s="64">
        <f t="shared" si="4"/>
        <v>152</v>
      </c>
      <c r="U10" s="64">
        <f t="shared" si="4"/>
        <v>152</v>
      </c>
      <c r="V10" s="64">
        <f t="shared" si="4"/>
        <v>152</v>
      </c>
    </row>
    <row r="11" spans="1:25" ht="15" thickBot="1" x14ac:dyDescent="0.4"/>
    <row r="12" spans="1:25" x14ac:dyDescent="0.35">
      <c r="B12" s="106" t="s">
        <v>57</v>
      </c>
      <c r="C12" s="49"/>
      <c r="D12" s="102">
        <v>181</v>
      </c>
      <c r="E12" s="39"/>
      <c r="F12" s="39"/>
      <c r="G12" s="39"/>
      <c r="H12" s="3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</row>
    <row r="13" spans="1:25" x14ac:dyDescent="0.35">
      <c r="B13" s="43" t="s">
        <v>34</v>
      </c>
      <c r="C13" s="25"/>
      <c r="D13" s="22">
        <v>45</v>
      </c>
      <c r="E13" s="25"/>
      <c r="F13" s="25"/>
      <c r="G13" s="25"/>
      <c r="H13" s="25"/>
      <c r="I13" s="25"/>
      <c r="O13" s="53"/>
      <c r="V13" s="44"/>
    </row>
    <row r="14" spans="1:25" ht="15.75" customHeight="1" x14ac:dyDescent="0.35">
      <c r="A14" s="36"/>
      <c r="B14" s="45" t="s">
        <v>36</v>
      </c>
      <c r="C14" s="37">
        <v>6</v>
      </c>
      <c r="D14" s="37"/>
      <c r="E14" s="104">
        <f>D6/C14</f>
        <v>24.166666666666668</v>
      </c>
      <c r="F14" s="104">
        <f>D6/C14</f>
        <v>24.166666666666668</v>
      </c>
      <c r="G14" s="104">
        <f>D6/C14</f>
        <v>24.166666666666668</v>
      </c>
      <c r="H14" s="104">
        <f>D6/C14</f>
        <v>24.166666666666668</v>
      </c>
      <c r="I14" s="104">
        <f>D6/C14</f>
        <v>24.166666666666668</v>
      </c>
      <c r="J14" s="104">
        <f>D6/C14</f>
        <v>24.166666666666668</v>
      </c>
      <c r="K14" s="37">
        <f>($D$6/$C$14)+E7</f>
        <v>39.166666666666671</v>
      </c>
      <c r="L14" s="37">
        <f>($D$6/$C$14)+F7</f>
        <v>39.166666666666671</v>
      </c>
      <c r="M14" s="37">
        <f>($D$6/$C$14)+G7</f>
        <v>39.166666666666671</v>
      </c>
      <c r="N14" s="37">
        <f>(D6/$C$14)+H7</f>
        <v>24.166666666666668</v>
      </c>
      <c r="O14" s="37">
        <f>(D6/$C$14)+I7</f>
        <v>24.166666666666668</v>
      </c>
      <c r="P14" s="104">
        <f>(D6+J7)/C14</f>
        <v>24.166666666666668</v>
      </c>
      <c r="Q14" s="37">
        <f t="shared" ref="Q14:V14" si="5">(K6/$C$14)+K7</f>
        <v>31.666666666666668</v>
      </c>
      <c r="R14" s="37">
        <f t="shared" si="5"/>
        <v>31.666666666666668</v>
      </c>
      <c r="S14" s="37">
        <f t="shared" si="5"/>
        <v>31.666666666666668</v>
      </c>
      <c r="T14" s="37">
        <f t="shared" si="5"/>
        <v>31.666666666666668</v>
      </c>
      <c r="U14" s="37">
        <f t="shared" si="5"/>
        <v>31.666666666666668</v>
      </c>
      <c r="V14" s="37">
        <f t="shared" si="5"/>
        <v>31.666666666666668</v>
      </c>
    </row>
    <row r="15" spans="1:25" ht="15.75" customHeight="1" x14ac:dyDescent="0.35">
      <c r="A15" s="36"/>
      <c r="B15" s="72" t="s">
        <v>51</v>
      </c>
      <c r="C15" s="51">
        <v>0.15</v>
      </c>
      <c r="D15" s="37"/>
      <c r="E15" s="37">
        <f>-E14*$C$15</f>
        <v>-3.625</v>
      </c>
      <c r="F15" s="37">
        <f t="shared" ref="F15:V15" si="6">-F14*$C$15</f>
        <v>-3.625</v>
      </c>
      <c r="G15" s="37">
        <f t="shared" si="6"/>
        <v>-3.625</v>
      </c>
      <c r="H15" s="37">
        <f t="shared" si="6"/>
        <v>-3.625</v>
      </c>
      <c r="I15" s="37">
        <f t="shared" si="6"/>
        <v>-3.625</v>
      </c>
      <c r="J15" s="37">
        <f t="shared" si="6"/>
        <v>-3.625</v>
      </c>
      <c r="K15" s="37">
        <f t="shared" si="6"/>
        <v>-5.8750000000000009</v>
      </c>
      <c r="L15" s="37">
        <f t="shared" si="6"/>
        <v>-5.8750000000000009</v>
      </c>
      <c r="M15" s="37">
        <f t="shared" si="6"/>
        <v>-5.8750000000000009</v>
      </c>
      <c r="N15" s="37">
        <f t="shared" si="6"/>
        <v>-3.625</v>
      </c>
      <c r="O15" s="37">
        <f t="shared" si="6"/>
        <v>-3.625</v>
      </c>
      <c r="P15" s="37">
        <f t="shared" si="6"/>
        <v>-3.625</v>
      </c>
      <c r="Q15" s="37">
        <f t="shared" si="6"/>
        <v>-4.75</v>
      </c>
      <c r="R15" s="37">
        <f t="shared" si="6"/>
        <v>-4.75</v>
      </c>
      <c r="S15" s="37">
        <f t="shared" si="6"/>
        <v>-4.75</v>
      </c>
      <c r="T15" s="37">
        <f t="shared" si="6"/>
        <v>-4.75</v>
      </c>
      <c r="U15" s="37">
        <f t="shared" si="6"/>
        <v>-4.75</v>
      </c>
      <c r="V15" s="37">
        <f t="shared" si="6"/>
        <v>-4.75</v>
      </c>
      <c r="W15" s="5"/>
    </row>
    <row r="16" spans="1:25" x14ac:dyDescent="0.35">
      <c r="B16" s="73" t="s">
        <v>37</v>
      </c>
      <c r="C16" s="46">
        <v>6</v>
      </c>
      <c r="D16" s="46"/>
      <c r="E16" s="46">
        <f>-$C$16</f>
        <v>-6</v>
      </c>
      <c r="F16" s="46">
        <f t="shared" ref="F16:V16" si="7">-$C$16</f>
        <v>-6</v>
      </c>
      <c r="G16" s="46">
        <f t="shared" si="7"/>
        <v>-6</v>
      </c>
      <c r="H16" s="46">
        <f t="shared" si="7"/>
        <v>-6</v>
      </c>
      <c r="I16" s="46">
        <f t="shared" si="7"/>
        <v>-6</v>
      </c>
      <c r="J16" s="46">
        <f t="shared" si="7"/>
        <v>-6</v>
      </c>
      <c r="K16" s="46">
        <f t="shared" si="7"/>
        <v>-6</v>
      </c>
      <c r="L16" s="46">
        <f t="shared" si="7"/>
        <v>-6</v>
      </c>
      <c r="M16" s="46">
        <f t="shared" si="7"/>
        <v>-6</v>
      </c>
      <c r="N16" s="46">
        <f t="shared" si="7"/>
        <v>-6</v>
      </c>
      <c r="O16" s="46">
        <f t="shared" si="7"/>
        <v>-6</v>
      </c>
      <c r="P16" s="46">
        <f t="shared" si="7"/>
        <v>-6</v>
      </c>
      <c r="Q16" s="46">
        <f t="shared" si="7"/>
        <v>-6</v>
      </c>
      <c r="R16" s="46">
        <f t="shared" si="7"/>
        <v>-6</v>
      </c>
      <c r="S16" s="46">
        <f t="shared" si="7"/>
        <v>-6</v>
      </c>
      <c r="T16" s="46">
        <f t="shared" si="7"/>
        <v>-6</v>
      </c>
      <c r="U16" s="46">
        <f t="shared" si="7"/>
        <v>-6</v>
      </c>
      <c r="V16" s="55">
        <f t="shared" si="7"/>
        <v>-6</v>
      </c>
    </row>
    <row r="17" spans="2:23" x14ac:dyDescent="0.35">
      <c r="B17" s="74" t="s">
        <v>38</v>
      </c>
      <c r="C17" s="46">
        <v>1</v>
      </c>
      <c r="D17" s="46"/>
      <c r="E17" s="46">
        <f>-$C$17</f>
        <v>-1</v>
      </c>
      <c r="F17" s="46">
        <f t="shared" ref="F17:V17" si="8">-$C$17</f>
        <v>-1</v>
      </c>
      <c r="G17" s="46">
        <f t="shared" si="8"/>
        <v>-1</v>
      </c>
      <c r="H17" s="46">
        <f t="shared" si="8"/>
        <v>-1</v>
      </c>
      <c r="I17" s="46">
        <f t="shared" si="8"/>
        <v>-1</v>
      </c>
      <c r="J17" s="46">
        <f t="shared" si="8"/>
        <v>-1</v>
      </c>
      <c r="K17" s="46">
        <f t="shared" si="8"/>
        <v>-1</v>
      </c>
      <c r="L17" s="46">
        <f t="shared" si="8"/>
        <v>-1</v>
      </c>
      <c r="M17" s="46">
        <f t="shared" si="8"/>
        <v>-1</v>
      </c>
      <c r="N17" s="46">
        <f t="shared" si="8"/>
        <v>-1</v>
      </c>
      <c r="O17" s="46">
        <f t="shared" si="8"/>
        <v>-1</v>
      </c>
      <c r="P17" s="46">
        <f t="shared" si="8"/>
        <v>-1</v>
      </c>
      <c r="Q17" s="46">
        <f t="shared" si="8"/>
        <v>-1</v>
      </c>
      <c r="R17" s="46">
        <f t="shared" si="8"/>
        <v>-1</v>
      </c>
      <c r="S17" s="46">
        <f t="shared" si="8"/>
        <v>-1</v>
      </c>
      <c r="T17" s="46">
        <f t="shared" si="8"/>
        <v>-1</v>
      </c>
      <c r="U17" s="46">
        <f t="shared" si="8"/>
        <v>-1</v>
      </c>
      <c r="V17" s="55">
        <f t="shared" si="8"/>
        <v>-1</v>
      </c>
    </row>
    <row r="18" spans="2:23" x14ac:dyDescent="0.35">
      <c r="B18" s="75" t="s">
        <v>40</v>
      </c>
      <c r="C18" s="35"/>
      <c r="D18" s="35">
        <f>SUM(D12:D17)</f>
        <v>226</v>
      </c>
      <c r="E18" s="35">
        <f>SUM(D18+E14+E15+E16+E17)</f>
        <v>239.54166666666666</v>
      </c>
      <c r="F18" s="35">
        <f>SUM(E18+E19+F14+F15+F16+F17+E20)</f>
        <v>243.9780833333333</v>
      </c>
      <c r="G18" s="35">
        <f t="shared" ref="G18:V18" si="9">SUM(F18+F19+G14+G15+G16+G17)</f>
        <v>248.22373408333328</v>
      </c>
      <c r="H18" s="35">
        <f t="shared" si="9"/>
        <v>252.28682185108329</v>
      </c>
      <c r="I18" s="35">
        <f t="shared" si="9"/>
        <v>256.17519684482005</v>
      </c>
      <c r="J18" s="35">
        <f t="shared" si="9"/>
        <v>259.89637171382611</v>
      </c>
      <c r="K18" s="35">
        <f t="shared" si="9"/>
        <v>276.20753606346494</v>
      </c>
      <c r="L18" s="35">
        <f t="shared" si="9"/>
        <v>292.55907034606929</v>
      </c>
      <c r="M18" s="35">
        <f t="shared" si="9"/>
        <v>308.20748865452168</v>
      </c>
      <c r="N18" s="35">
        <f t="shared" si="9"/>
        <v>310.43302497571062</v>
      </c>
      <c r="O18" s="35">
        <f t="shared" si="9"/>
        <v>311.82111323508843</v>
      </c>
      <c r="P18" s="35">
        <f t="shared" si="9"/>
        <v>313.14951369931299</v>
      </c>
      <c r="Q18" s="35">
        <f t="shared" si="9"/>
        <v>320.79579294357586</v>
      </c>
      <c r="R18" s="35">
        <f t="shared" si="9"/>
        <v>328.48415718033544</v>
      </c>
      <c r="S18" s="35">
        <f t="shared" si="9"/>
        <v>335.84192175491438</v>
      </c>
      <c r="T18" s="35">
        <f t="shared" si="9"/>
        <v>342.88330245278644</v>
      </c>
      <c r="U18" s="35">
        <f t="shared" si="9"/>
        <v>349.62190378064997</v>
      </c>
      <c r="V18" s="56">
        <f t="shared" si="9"/>
        <v>356.07074525141536</v>
      </c>
    </row>
    <row r="19" spans="2:23" x14ac:dyDescent="0.35">
      <c r="B19" s="76" t="s">
        <v>52</v>
      </c>
      <c r="C19" s="65">
        <v>4.2999999999999997E-2</v>
      </c>
      <c r="D19" s="66"/>
      <c r="E19" s="66">
        <f>-(E18-E14+E15)*$C$19</f>
        <v>-9.1052499999999998</v>
      </c>
      <c r="F19" s="66">
        <f t="shared" ref="F19:V19" si="10">-(F18-F14+F15)*$C$19</f>
        <v>-9.2960159166666649</v>
      </c>
      <c r="G19" s="66">
        <f t="shared" si="10"/>
        <v>-9.4785788989166644</v>
      </c>
      <c r="H19" s="66">
        <f t="shared" si="10"/>
        <v>-9.6532916729299139</v>
      </c>
      <c r="I19" s="66">
        <f t="shared" si="10"/>
        <v>-9.8204917976605959</v>
      </c>
      <c r="J19" s="66">
        <f t="shared" si="10"/>
        <v>-9.980502317027856</v>
      </c>
      <c r="K19" s="66">
        <f t="shared" si="10"/>
        <v>-9.9401323840623235</v>
      </c>
      <c r="L19" s="66">
        <f>-(L18-L14+L15)*$C$19</f>
        <v>-10.643248358214311</v>
      </c>
      <c r="M19" s="66">
        <f t="shared" si="10"/>
        <v>-11.316130345477763</v>
      </c>
      <c r="N19" s="66">
        <f t="shared" si="10"/>
        <v>-12.153578407288888</v>
      </c>
      <c r="O19" s="66">
        <f t="shared" si="10"/>
        <v>-12.213266202442135</v>
      </c>
      <c r="P19" s="66">
        <f t="shared" si="10"/>
        <v>-12.27038742240379</v>
      </c>
      <c r="Q19" s="66">
        <f t="shared" si="10"/>
        <v>-12.228302429907094</v>
      </c>
      <c r="R19" s="66">
        <f t="shared" si="10"/>
        <v>-12.558902092087756</v>
      </c>
      <c r="S19" s="66">
        <f t="shared" si="10"/>
        <v>-12.87528596879465</v>
      </c>
      <c r="T19" s="66">
        <f t="shared" si="10"/>
        <v>-13.178065338803147</v>
      </c>
      <c r="U19" s="66">
        <f t="shared" si="10"/>
        <v>-13.46782519590128</v>
      </c>
      <c r="V19" s="67">
        <f t="shared" si="10"/>
        <v>-13.745125379144191</v>
      </c>
      <c r="W19" s="50"/>
    </row>
    <row r="20" spans="2:23" x14ac:dyDescent="0.35">
      <c r="B20" s="76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  <c r="W20" s="50"/>
    </row>
    <row r="21" spans="2:23" x14ac:dyDescent="0.35">
      <c r="B21" s="77" t="s">
        <v>44</v>
      </c>
      <c r="C21" s="61">
        <v>0.2</v>
      </c>
      <c r="D21" s="66">
        <f t="shared" ref="D21:V21" si="11">-$C$21*D18</f>
        <v>-45.2</v>
      </c>
      <c r="E21" s="66">
        <f t="shared" si="11"/>
        <v>-47.908333333333331</v>
      </c>
      <c r="F21" s="66">
        <f t="shared" si="11"/>
        <v>-48.79561666666666</v>
      </c>
      <c r="G21" s="66">
        <f t="shared" si="11"/>
        <v>-49.644746816666661</v>
      </c>
      <c r="H21" s="66">
        <f t="shared" si="11"/>
        <v>-50.457364370216659</v>
      </c>
      <c r="I21" s="66">
        <f t="shared" si="11"/>
        <v>-51.23503936896401</v>
      </c>
      <c r="J21" s="66">
        <f t="shared" si="11"/>
        <v>-51.979274342765223</v>
      </c>
      <c r="K21" s="66">
        <f t="shared" si="11"/>
        <v>-55.241507212692994</v>
      </c>
      <c r="L21" s="66">
        <f t="shared" si="11"/>
        <v>-58.511814069213862</v>
      </c>
      <c r="M21" s="66">
        <f t="shared" si="11"/>
        <v>-61.641497730904341</v>
      </c>
      <c r="N21" s="66">
        <f t="shared" si="11"/>
        <v>-62.086604995142125</v>
      </c>
      <c r="O21" s="66">
        <f t="shared" si="11"/>
        <v>-62.364222647017691</v>
      </c>
      <c r="P21" s="66">
        <f t="shared" si="11"/>
        <v>-62.629902739862601</v>
      </c>
      <c r="Q21" s="66">
        <f t="shared" si="11"/>
        <v>-64.159158588715172</v>
      </c>
      <c r="R21" s="66">
        <f t="shared" si="11"/>
        <v>-65.696831436067086</v>
      </c>
      <c r="S21" s="66">
        <f t="shared" si="11"/>
        <v>-67.168384350982876</v>
      </c>
      <c r="T21" s="66">
        <f t="shared" si="11"/>
        <v>-68.576660490557288</v>
      </c>
      <c r="U21" s="66">
        <f t="shared" si="11"/>
        <v>-69.924380756129992</v>
      </c>
      <c r="V21" s="67">
        <f t="shared" si="11"/>
        <v>-71.214149050283069</v>
      </c>
      <c r="W21" s="50"/>
    </row>
    <row r="22" spans="2:23" ht="15" thickBot="1" x14ac:dyDescent="0.4">
      <c r="B22" s="68" t="s">
        <v>53</v>
      </c>
      <c r="C22" s="78">
        <v>0.12</v>
      </c>
      <c r="D22" s="79">
        <f t="shared" ref="D22:V22" si="12">-$C$22*D18</f>
        <v>-27.119999999999997</v>
      </c>
      <c r="E22" s="79">
        <f t="shared" si="12"/>
        <v>-28.744999999999997</v>
      </c>
      <c r="F22" s="79">
        <f t="shared" si="12"/>
        <v>-29.277369999999994</v>
      </c>
      <c r="G22" s="79">
        <f t="shared" si="12"/>
        <v>-29.786848089999992</v>
      </c>
      <c r="H22" s="79">
        <f t="shared" si="12"/>
        <v>-30.274418622129993</v>
      </c>
      <c r="I22" s="79">
        <f t="shared" si="12"/>
        <v>-30.741023621378403</v>
      </c>
      <c r="J22" s="79">
        <f t="shared" si="12"/>
        <v>-31.187564605659134</v>
      </c>
      <c r="K22" s="79">
        <f t="shared" si="12"/>
        <v>-33.144904327615791</v>
      </c>
      <c r="L22" s="79">
        <f t="shared" si="12"/>
        <v>-35.107088441528312</v>
      </c>
      <c r="M22" s="79">
        <f t="shared" si="12"/>
        <v>-36.984898638542603</v>
      </c>
      <c r="N22" s="79">
        <f t="shared" si="12"/>
        <v>-37.251962997085272</v>
      </c>
      <c r="O22" s="79">
        <f t="shared" si="12"/>
        <v>-37.418533588210607</v>
      </c>
      <c r="P22" s="79">
        <f t="shared" si="12"/>
        <v>-37.577941643917555</v>
      </c>
      <c r="Q22" s="79">
        <f t="shared" si="12"/>
        <v>-38.495495153229101</v>
      </c>
      <c r="R22" s="79">
        <f t="shared" si="12"/>
        <v>-39.418098861640253</v>
      </c>
      <c r="S22" s="79">
        <f t="shared" si="12"/>
        <v>-40.301030610589727</v>
      </c>
      <c r="T22" s="79">
        <f t="shared" si="12"/>
        <v>-41.145996294334374</v>
      </c>
      <c r="U22" s="79">
        <f t="shared" si="12"/>
        <v>-41.954628453677998</v>
      </c>
      <c r="V22" s="80">
        <f t="shared" si="12"/>
        <v>-42.728489430169844</v>
      </c>
      <c r="W22" s="50"/>
    </row>
    <row r="23" spans="2:23" ht="22.5" customHeight="1" thickBot="1" x14ac:dyDescent="0.4">
      <c r="B23" s="107" t="s">
        <v>3</v>
      </c>
      <c r="C23" s="48"/>
      <c r="D23" s="48">
        <f t="shared" ref="D23:V23" si="13">SUM(D18:D22)</f>
        <v>153.68</v>
      </c>
      <c r="E23" s="48">
        <f t="shared" si="13"/>
        <v>153.78308333333331</v>
      </c>
      <c r="F23" s="48">
        <f t="shared" si="13"/>
        <v>156.60908074999998</v>
      </c>
      <c r="G23" s="48">
        <f t="shared" si="13"/>
        <v>159.31356027774996</v>
      </c>
      <c r="H23" s="48">
        <f t="shared" si="13"/>
        <v>161.90174718580673</v>
      </c>
      <c r="I23" s="48">
        <f t="shared" si="13"/>
        <v>164.37864205681706</v>
      </c>
      <c r="J23" s="48">
        <f t="shared" si="13"/>
        <v>166.7490304483739</v>
      </c>
      <c r="K23" s="48">
        <f t="shared" si="13"/>
        <v>177.88099213909382</v>
      </c>
      <c r="L23" s="48">
        <f t="shared" si="13"/>
        <v>188.29691947711282</v>
      </c>
      <c r="M23" s="48">
        <f t="shared" si="13"/>
        <v>198.26496193959699</v>
      </c>
      <c r="N23" s="48">
        <f t="shared" si="13"/>
        <v>198.94087857619434</v>
      </c>
      <c r="O23" s="48">
        <f t="shared" si="13"/>
        <v>199.825090797418</v>
      </c>
      <c r="P23" s="48">
        <f t="shared" si="13"/>
        <v>200.67128189312905</v>
      </c>
      <c r="Q23" s="48">
        <f t="shared" si="13"/>
        <v>205.91283677172447</v>
      </c>
      <c r="R23" s="48">
        <f t="shared" si="13"/>
        <v>210.81032479054034</v>
      </c>
      <c r="S23" s="48">
        <f t="shared" si="13"/>
        <v>215.49722082454716</v>
      </c>
      <c r="T23" s="48">
        <f t="shared" si="13"/>
        <v>219.98258032909163</v>
      </c>
      <c r="U23" s="48">
        <f t="shared" si="13"/>
        <v>224.27506937494067</v>
      </c>
      <c r="V23" s="81">
        <f t="shared" si="13"/>
        <v>228.38298139181822</v>
      </c>
    </row>
    <row r="25" spans="2:23" ht="15" thickBot="1" x14ac:dyDescent="0.4"/>
    <row r="26" spans="2:23" ht="29.5" thickBot="1" x14ac:dyDescent="0.4">
      <c r="B26" s="108" t="s">
        <v>56</v>
      </c>
      <c r="C26" s="52">
        <v>0.5</v>
      </c>
      <c r="D26" s="48">
        <f>D23+(C26*D10)</f>
        <v>211.68</v>
      </c>
      <c r="E26" s="48">
        <f t="shared" ref="E26:V26" si="14">E23+($C$26*E10)</f>
        <v>217.78308333333331</v>
      </c>
      <c r="F26" s="48">
        <f t="shared" si="14"/>
        <v>226.60908074999998</v>
      </c>
      <c r="G26" s="48">
        <f t="shared" si="14"/>
        <v>235.31356027774996</v>
      </c>
      <c r="H26" s="48">
        <f t="shared" si="14"/>
        <v>237.90174718580673</v>
      </c>
      <c r="I26" s="48">
        <f t="shared" si="14"/>
        <v>240.37864205681706</v>
      </c>
      <c r="J26" s="48">
        <f t="shared" si="14"/>
        <v>242.7490304483739</v>
      </c>
      <c r="K26" s="48">
        <f t="shared" si="14"/>
        <v>253.88099213909382</v>
      </c>
      <c r="L26" s="48">
        <f t="shared" si="14"/>
        <v>264.29691947711285</v>
      </c>
      <c r="M26" s="48">
        <f t="shared" si="14"/>
        <v>274.26496193959701</v>
      </c>
      <c r="N26" s="48">
        <f t="shared" si="14"/>
        <v>274.94087857619434</v>
      </c>
      <c r="O26" s="48">
        <f t="shared" si="14"/>
        <v>275.825090797418</v>
      </c>
      <c r="P26" s="48">
        <f t="shared" si="14"/>
        <v>276.67128189312905</v>
      </c>
      <c r="Q26" s="48">
        <f t="shared" si="14"/>
        <v>281.91283677172447</v>
      </c>
      <c r="R26" s="48">
        <f t="shared" si="14"/>
        <v>286.81032479054034</v>
      </c>
      <c r="S26" s="48">
        <f t="shared" si="14"/>
        <v>291.49722082454718</v>
      </c>
      <c r="T26" s="48">
        <f t="shared" si="14"/>
        <v>295.98258032909166</v>
      </c>
      <c r="U26" s="48">
        <f t="shared" si="14"/>
        <v>300.2750693749407</v>
      </c>
      <c r="V26" s="48">
        <f t="shared" si="14"/>
        <v>304.38298139181825</v>
      </c>
    </row>
    <row r="27" spans="2:23" ht="15" thickBot="1" x14ac:dyDescent="0.4">
      <c r="B27" s="9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2:23" ht="15" thickBot="1" x14ac:dyDescent="0.4">
      <c r="B28" s="87" t="s">
        <v>39</v>
      </c>
      <c r="C28" s="88">
        <v>2000</v>
      </c>
      <c r="D28" s="89">
        <f>472034+$C$28</f>
        <v>474034</v>
      </c>
      <c r="E28" s="89">
        <f>D28+$C$28</f>
        <v>476034</v>
      </c>
      <c r="F28" s="89">
        <f t="shared" ref="F28:V28" si="15">E28+$C$28</f>
        <v>478034</v>
      </c>
      <c r="G28" s="89">
        <f t="shared" si="15"/>
        <v>480034</v>
      </c>
      <c r="H28" s="89">
        <f t="shared" si="15"/>
        <v>482034</v>
      </c>
      <c r="I28" s="89">
        <f t="shared" si="15"/>
        <v>484034</v>
      </c>
      <c r="J28" s="89">
        <f t="shared" si="15"/>
        <v>486034</v>
      </c>
      <c r="K28" s="89">
        <f t="shared" si="15"/>
        <v>488034</v>
      </c>
      <c r="L28" s="89">
        <f t="shared" si="15"/>
        <v>490034</v>
      </c>
      <c r="M28" s="89">
        <f t="shared" si="15"/>
        <v>492034</v>
      </c>
      <c r="N28" s="89">
        <f t="shared" si="15"/>
        <v>494034</v>
      </c>
      <c r="O28" s="89">
        <f t="shared" si="15"/>
        <v>496034</v>
      </c>
      <c r="P28" s="89">
        <f t="shared" si="15"/>
        <v>498034</v>
      </c>
      <c r="Q28" s="89">
        <f t="shared" si="15"/>
        <v>500034</v>
      </c>
      <c r="R28" s="89">
        <f t="shared" si="15"/>
        <v>502034</v>
      </c>
      <c r="S28" s="89">
        <f t="shared" si="15"/>
        <v>504034</v>
      </c>
      <c r="T28" s="89">
        <f t="shared" si="15"/>
        <v>506034</v>
      </c>
      <c r="U28" s="89">
        <f t="shared" si="15"/>
        <v>508034</v>
      </c>
      <c r="V28" s="90">
        <f t="shared" si="15"/>
        <v>510034</v>
      </c>
    </row>
    <row r="29" spans="2:23" ht="15" thickBot="1" x14ac:dyDescent="0.4">
      <c r="B29" s="92"/>
      <c r="C29" s="69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2:23" x14ac:dyDescent="0.35">
      <c r="B30" s="82" t="s">
        <v>50</v>
      </c>
      <c r="C30" s="83"/>
      <c r="D30" s="84">
        <v>8</v>
      </c>
      <c r="E30" s="84">
        <v>8</v>
      </c>
      <c r="F30" s="84">
        <v>8</v>
      </c>
      <c r="G30" s="84">
        <v>8</v>
      </c>
      <c r="H30" s="84">
        <v>8</v>
      </c>
      <c r="I30" s="84">
        <v>8</v>
      </c>
      <c r="J30" s="84">
        <v>8</v>
      </c>
      <c r="K30" s="84">
        <v>8</v>
      </c>
      <c r="L30" s="84">
        <v>8</v>
      </c>
      <c r="M30" s="84">
        <v>8</v>
      </c>
      <c r="N30" s="84">
        <v>8</v>
      </c>
      <c r="O30" s="84">
        <v>8</v>
      </c>
      <c r="P30" s="84">
        <v>8</v>
      </c>
      <c r="Q30" s="84">
        <v>8</v>
      </c>
      <c r="R30" s="84">
        <v>8</v>
      </c>
      <c r="S30" s="84">
        <v>8</v>
      </c>
      <c r="T30" s="84">
        <v>8</v>
      </c>
      <c r="U30" s="84">
        <v>8</v>
      </c>
      <c r="V30" s="84">
        <v>8</v>
      </c>
    </row>
    <row r="31" spans="2:23" x14ac:dyDescent="0.35">
      <c r="B31" s="101" t="s">
        <v>33</v>
      </c>
      <c r="C31" s="100"/>
      <c r="D31" s="66">
        <v>20</v>
      </c>
      <c r="E31" s="66">
        <v>15</v>
      </c>
      <c r="F31" s="66">
        <v>15</v>
      </c>
      <c r="G31" s="66">
        <v>10</v>
      </c>
      <c r="H31" s="66">
        <v>10</v>
      </c>
      <c r="I31" s="66">
        <v>5</v>
      </c>
      <c r="J31" s="66">
        <v>5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</row>
    <row r="32" spans="2:23" ht="15" thickBot="1" x14ac:dyDescent="0.4">
      <c r="B32" s="85" t="s">
        <v>10</v>
      </c>
      <c r="C32" s="86"/>
      <c r="D32" s="79">
        <v>85</v>
      </c>
      <c r="E32" s="79">
        <v>85</v>
      </c>
      <c r="F32" s="79">
        <v>85</v>
      </c>
      <c r="G32" s="79">
        <v>85</v>
      </c>
      <c r="H32" s="79">
        <v>85</v>
      </c>
      <c r="I32" s="79">
        <v>85</v>
      </c>
      <c r="J32" s="79">
        <v>85</v>
      </c>
      <c r="K32" s="79">
        <v>85</v>
      </c>
      <c r="L32" s="79">
        <v>85</v>
      </c>
      <c r="M32" s="79">
        <v>80</v>
      </c>
      <c r="N32" s="79">
        <v>80</v>
      </c>
      <c r="O32" s="79">
        <v>80</v>
      </c>
      <c r="P32" s="79">
        <v>80</v>
      </c>
      <c r="Q32" s="79">
        <v>60</v>
      </c>
      <c r="R32" s="79">
        <v>60</v>
      </c>
      <c r="S32" s="79">
        <v>60</v>
      </c>
      <c r="T32" s="79">
        <v>60</v>
      </c>
      <c r="U32" s="79">
        <v>60</v>
      </c>
      <c r="V32" s="80">
        <v>60</v>
      </c>
    </row>
    <row r="33" spans="2:22" x14ac:dyDescent="0.35">
      <c r="B33" s="93"/>
      <c r="C33" s="6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2:22" x14ac:dyDescent="0.35">
      <c r="B34" s="70" t="s">
        <v>45</v>
      </c>
      <c r="C34" s="71"/>
      <c r="D34" s="71">
        <f>D28/D26</f>
        <v>2239.3896447467873</v>
      </c>
      <c r="E34" s="71">
        <f t="shared" ref="E34:V34" si="16">E28/E26</f>
        <v>2185.8171567503905</v>
      </c>
      <c r="F34" s="71">
        <f t="shared" si="16"/>
        <v>2109.5094619238907</v>
      </c>
      <c r="G34" s="71">
        <f t="shared" si="16"/>
        <v>2039.9759343804785</v>
      </c>
      <c r="H34" s="71">
        <f t="shared" si="16"/>
        <v>2026.189406770184</v>
      </c>
      <c r="I34" s="71">
        <f t="shared" si="16"/>
        <v>2013.6314768164443</v>
      </c>
      <c r="J34" s="71">
        <f t="shared" si="16"/>
        <v>2002.2077909117177</v>
      </c>
      <c r="K34" s="71">
        <f t="shared" si="16"/>
        <v>1922.2943627564712</v>
      </c>
      <c r="L34" s="71">
        <f t="shared" si="16"/>
        <v>1854.1040923575167</v>
      </c>
      <c r="M34" s="71">
        <f t="shared" si="16"/>
        <v>1794.0096923804781</v>
      </c>
      <c r="N34" s="71">
        <f t="shared" si="16"/>
        <v>1796.8735771792058</v>
      </c>
      <c r="O34" s="71">
        <f t="shared" si="16"/>
        <v>1798.3643132898169</v>
      </c>
      <c r="P34" s="71">
        <f t="shared" si="16"/>
        <v>1800.0928632425885</v>
      </c>
      <c r="Q34" s="71">
        <f t="shared" si="16"/>
        <v>1773.7184504474924</v>
      </c>
      <c r="R34" s="71">
        <f t="shared" si="16"/>
        <v>1750.404210052895</v>
      </c>
      <c r="S34" s="71">
        <f t="shared" si="16"/>
        <v>1729.1211167442971</v>
      </c>
      <c r="T34" s="71">
        <f t="shared" si="16"/>
        <v>1709.6749391040521</v>
      </c>
      <c r="U34" s="71">
        <f t="shared" si="16"/>
        <v>1691.8953713258145</v>
      </c>
      <c r="V34" s="71">
        <f t="shared" si="16"/>
        <v>1675.6324472144408</v>
      </c>
    </row>
    <row r="35" spans="2:22" x14ac:dyDescent="0.35">
      <c r="B35" s="70" t="s">
        <v>46</v>
      </c>
      <c r="C35" s="71"/>
      <c r="D35" s="71">
        <f>D28/(D26+D31+D30+D32*0.5)</f>
        <v>1679.8993550216173</v>
      </c>
      <c r="E35" s="71">
        <f>E28/(E26+E31+E30+E32*0.5)</f>
        <v>1680.4180270795086</v>
      </c>
      <c r="F35" s="71">
        <f t="shared" ref="F35:V35" si="17">F28/(F26+F31+F30+F32*0.5)</f>
        <v>1636.4914051032972</v>
      </c>
      <c r="G35" s="71">
        <f t="shared" si="17"/>
        <v>1622.75860359234</v>
      </c>
      <c r="H35" s="71">
        <f t="shared" si="17"/>
        <v>1615.3859839830309</v>
      </c>
      <c r="I35" s="71">
        <f t="shared" si="17"/>
        <v>1635.9207161260792</v>
      </c>
      <c r="J35" s="71">
        <f t="shared" si="17"/>
        <v>1629.6247443598352</v>
      </c>
      <c r="K35" s="71">
        <f t="shared" si="17"/>
        <v>1603.36556028105</v>
      </c>
      <c r="L35" s="71">
        <f t="shared" si="17"/>
        <v>1556.6670754401321</v>
      </c>
      <c r="M35" s="71">
        <f t="shared" si="17"/>
        <v>1526.7995535059852</v>
      </c>
      <c r="N35" s="71">
        <f t="shared" si="17"/>
        <v>1529.7970395638165</v>
      </c>
      <c r="O35" s="71">
        <f t="shared" si="17"/>
        <v>1531.7960655195625</v>
      </c>
      <c r="P35" s="71">
        <f t="shared" si="17"/>
        <v>1533.9638205633973</v>
      </c>
      <c r="Q35" s="71">
        <f t="shared" si="17"/>
        <v>1563.0319966085074</v>
      </c>
      <c r="R35" s="71">
        <f t="shared" si="17"/>
        <v>1545.6220498032058</v>
      </c>
      <c r="S35" s="71">
        <f t="shared" si="17"/>
        <v>1529.7063773062634</v>
      </c>
      <c r="T35" s="71">
        <f t="shared" si="17"/>
        <v>1515.1508785319775</v>
      </c>
      <c r="U35" s="71">
        <f t="shared" si="17"/>
        <v>1501.83695457882</v>
      </c>
      <c r="V35" s="71">
        <f t="shared" si="17"/>
        <v>1489.6593222205875</v>
      </c>
    </row>
    <row r="36" spans="2:22" x14ac:dyDescent="0.35">
      <c r="B36" s="105" t="s">
        <v>54</v>
      </c>
      <c r="C36" s="105"/>
      <c r="D36" s="105">
        <f>(D28/1100)-D26</f>
        <v>219.26</v>
      </c>
      <c r="E36" s="105">
        <f>(E28/1100)-E26</f>
        <v>214.9750984848485</v>
      </c>
      <c r="F36" s="105">
        <f t="shared" ref="F36:V36" si="18">(F28/1100)-F26</f>
        <v>207.96728288636365</v>
      </c>
      <c r="G36" s="105">
        <f t="shared" si="18"/>
        <v>201.08098517679548</v>
      </c>
      <c r="H36" s="105">
        <f t="shared" si="18"/>
        <v>200.31098008692052</v>
      </c>
      <c r="I36" s="105">
        <f t="shared" si="18"/>
        <v>199.65226703409201</v>
      </c>
      <c r="J36" s="105">
        <f t="shared" si="18"/>
        <v>199.10006046071703</v>
      </c>
      <c r="K36" s="105">
        <f t="shared" si="18"/>
        <v>189.78628058817893</v>
      </c>
      <c r="L36" s="105">
        <f t="shared" si="18"/>
        <v>181.18853506834171</v>
      </c>
      <c r="M36" s="105">
        <f t="shared" si="18"/>
        <v>173.03867442403936</v>
      </c>
      <c r="N36" s="105">
        <f t="shared" si="18"/>
        <v>174.18093960562385</v>
      </c>
      <c r="O36" s="105">
        <f t="shared" si="18"/>
        <v>175.114909202582</v>
      </c>
      <c r="P36" s="105">
        <f t="shared" si="18"/>
        <v>176.08689992505276</v>
      </c>
      <c r="Q36" s="105">
        <f t="shared" si="18"/>
        <v>172.66352686463915</v>
      </c>
      <c r="R36" s="105">
        <f t="shared" si="18"/>
        <v>169.5842206640051</v>
      </c>
      <c r="S36" s="105">
        <f t="shared" si="18"/>
        <v>166.71550644818007</v>
      </c>
      <c r="T36" s="105">
        <f t="shared" si="18"/>
        <v>164.0483287618174</v>
      </c>
      <c r="U36" s="105">
        <f t="shared" si="18"/>
        <v>161.57402153415023</v>
      </c>
      <c r="V36" s="105">
        <f t="shared" si="18"/>
        <v>159.2842913354545</v>
      </c>
    </row>
    <row r="37" spans="2:22" x14ac:dyDescent="0.3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zoomScale="50" zoomScaleNormal="50" workbookViewId="0">
      <pane ySplit="5" topLeftCell="A10" activePane="bottomLeft" state="frozen"/>
      <selection pane="bottomLeft" activeCell="P14" sqref="P14"/>
    </sheetView>
  </sheetViews>
  <sheetFormatPr defaultRowHeight="14.5" x14ac:dyDescent="0.35"/>
  <cols>
    <col min="1" max="1" width="5.81640625" customWidth="1"/>
    <col min="2" max="2" width="61.81640625" customWidth="1"/>
    <col min="3" max="3" width="8.1796875" customWidth="1"/>
    <col min="4" max="4" width="8.26953125" bestFit="1" customWidth="1"/>
    <col min="5" max="6" width="8.453125" customWidth="1"/>
    <col min="7" max="8" width="8.1796875" customWidth="1"/>
    <col min="9" max="9" width="8.453125" customWidth="1"/>
    <col min="10" max="11" width="8.26953125" bestFit="1" customWidth="1"/>
    <col min="12" max="12" width="9.1796875" customWidth="1"/>
    <col min="13" max="14" width="8.26953125" bestFit="1" customWidth="1"/>
    <col min="15" max="22" width="11.453125" customWidth="1"/>
    <col min="23" max="23" width="12" customWidth="1"/>
  </cols>
  <sheetData>
    <row r="1" spans="1:25" ht="21" x14ac:dyDescent="0.5">
      <c r="A1" s="1" t="s">
        <v>41</v>
      </c>
    </row>
    <row r="2" spans="1:25" x14ac:dyDescent="0.35">
      <c r="K2" s="5"/>
    </row>
    <row r="3" spans="1:25" x14ac:dyDescent="0.35">
      <c r="L3" s="34"/>
    </row>
    <row r="4" spans="1:25" x14ac:dyDescent="0.3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5" thickBot="1" x14ac:dyDescent="0.4">
      <c r="C5" s="11" t="s">
        <v>42</v>
      </c>
      <c r="D5" s="11">
        <v>2022</v>
      </c>
      <c r="E5" s="12">
        <v>2023</v>
      </c>
      <c r="F5" s="12">
        <v>2024</v>
      </c>
      <c r="G5" s="12">
        <v>2025</v>
      </c>
      <c r="H5" s="12">
        <v>2026</v>
      </c>
      <c r="I5" s="12">
        <v>2027</v>
      </c>
      <c r="J5" s="12">
        <v>2028</v>
      </c>
      <c r="K5" s="12">
        <v>2029</v>
      </c>
      <c r="L5" s="12">
        <v>2030</v>
      </c>
      <c r="M5" s="12">
        <v>2031</v>
      </c>
      <c r="N5" s="12">
        <v>2032</v>
      </c>
      <c r="O5" s="12">
        <v>2033</v>
      </c>
      <c r="P5" s="12">
        <v>2034</v>
      </c>
      <c r="Q5" s="12">
        <v>2035</v>
      </c>
      <c r="R5" s="12">
        <v>2036</v>
      </c>
      <c r="S5" s="12">
        <v>2037</v>
      </c>
      <c r="T5" s="12">
        <v>2038</v>
      </c>
      <c r="U5" s="12">
        <v>2039</v>
      </c>
      <c r="V5" s="12">
        <v>2040</v>
      </c>
    </row>
    <row r="6" spans="1:25" x14ac:dyDescent="0.35">
      <c r="A6" s="5"/>
      <c r="B6" s="38" t="s">
        <v>49</v>
      </c>
      <c r="C6" s="47"/>
      <c r="D6" s="47">
        <v>145</v>
      </c>
      <c r="E6" s="47">
        <f>D6+E7</f>
        <v>165</v>
      </c>
      <c r="F6" s="47">
        <f>E6+F7</f>
        <v>185</v>
      </c>
      <c r="G6" s="47">
        <f>F6+G7</f>
        <v>205</v>
      </c>
      <c r="H6" s="47">
        <f>G6+H7</f>
        <v>225</v>
      </c>
      <c r="I6" s="47">
        <f t="shared" ref="I6:V6" si="0">H6+I7</f>
        <v>245</v>
      </c>
      <c r="J6" s="47">
        <f>I6+J7</f>
        <v>245</v>
      </c>
      <c r="K6" s="47">
        <f t="shared" si="0"/>
        <v>245</v>
      </c>
      <c r="L6" s="47">
        <f t="shared" si="0"/>
        <v>245</v>
      </c>
      <c r="M6" s="47">
        <f t="shared" si="0"/>
        <v>245</v>
      </c>
      <c r="N6" s="47">
        <f t="shared" si="0"/>
        <v>245</v>
      </c>
      <c r="O6" s="47">
        <f t="shared" si="0"/>
        <v>245</v>
      </c>
      <c r="P6" s="47">
        <f t="shared" si="0"/>
        <v>245</v>
      </c>
      <c r="Q6" s="47">
        <f t="shared" si="0"/>
        <v>245</v>
      </c>
      <c r="R6" s="47">
        <f t="shared" si="0"/>
        <v>245</v>
      </c>
      <c r="S6" s="47">
        <f t="shared" si="0"/>
        <v>245</v>
      </c>
      <c r="T6" s="47">
        <f t="shared" si="0"/>
        <v>245</v>
      </c>
      <c r="U6" s="47">
        <f t="shared" si="0"/>
        <v>245</v>
      </c>
      <c r="V6" s="57">
        <f t="shared" si="0"/>
        <v>245</v>
      </c>
    </row>
    <row r="7" spans="1:25" ht="15" thickBot="1" x14ac:dyDescent="0.4">
      <c r="A7" s="34"/>
      <c r="B7" s="58" t="s">
        <v>35</v>
      </c>
      <c r="C7" s="59">
        <v>0</v>
      </c>
      <c r="D7" s="59"/>
      <c r="E7" s="103">
        <v>20</v>
      </c>
      <c r="F7" s="103">
        <v>20</v>
      </c>
      <c r="G7" s="103">
        <v>20</v>
      </c>
      <c r="H7" s="103">
        <v>20</v>
      </c>
      <c r="I7" s="103">
        <v>20</v>
      </c>
      <c r="J7" s="59"/>
      <c r="K7" s="59">
        <f t="shared" ref="K7:V7" si="1">$C$7</f>
        <v>0</v>
      </c>
      <c r="L7" s="59">
        <f t="shared" si="1"/>
        <v>0</v>
      </c>
      <c r="M7" s="59">
        <f t="shared" si="1"/>
        <v>0</v>
      </c>
      <c r="N7" s="59">
        <f t="shared" si="1"/>
        <v>0</v>
      </c>
      <c r="O7" s="59">
        <f t="shared" si="1"/>
        <v>0</v>
      </c>
      <c r="P7" s="59">
        <f t="shared" si="1"/>
        <v>0</v>
      </c>
      <c r="Q7" s="59">
        <f t="shared" si="1"/>
        <v>0</v>
      </c>
      <c r="R7" s="59">
        <f t="shared" si="1"/>
        <v>0</v>
      </c>
      <c r="S7" s="59">
        <f t="shared" si="1"/>
        <v>0</v>
      </c>
      <c r="T7" s="59">
        <f t="shared" si="1"/>
        <v>0</v>
      </c>
      <c r="U7" s="59">
        <f t="shared" si="1"/>
        <v>0</v>
      </c>
      <c r="V7" s="60">
        <f t="shared" si="1"/>
        <v>0</v>
      </c>
    </row>
    <row r="8" spans="1:25" x14ac:dyDescent="0.35">
      <c r="A8" s="34"/>
      <c r="B8" s="94" t="s">
        <v>47</v>
      </c>
      <c r="C8" s="95">
        <v>0.2</v>
      </c>
      <c r="D8" s="96">
        <f>-$C$8*D6</f>
        <v>-29</v>
      </c>
      <c r="E8" s="96">
        <f>-$C$8*E6</f>
        <v>-33</v>
      </c>
      <c r="F8" s="96">
        <f t="shared" ref="F8:V8" si="2">-$C$8*F6</f>
        <v>-37</v>
      </c>
      <c r="G8" s="96">
        <f t="shared" si="2"/>
        <v>-41</v>
      </c>
      <c r="H8" s="96">
        <f t="shared" si="2"/>
        <v>-45</v>
      </c>
      <c r="I8" s="96">
        <f t="shared" si="2"/>
        <v>-49</v>
      </c>
      <c r="J8" s="96">
        <f t="shared" si="2"/>
        <v>-49</v>
      </c>
      <c r="K8" s="96">
        <f>-$C$8*K6</f>
        <v>-49</v>
      </c>
      <c r="L8" s="96">
        <f>-$C$8*L6</f>
        <v>-49</v>
      </c>
      <c r="M8" s="96">
        <f t="shared" si="2"/>
        <v>-49</v>
      </c>
      <c r="N8" s="96">
        <f t="shared" si="2"/>
        <v>-49</v>
      </c>
      <c r="O8" s="96">
        <f t="shared" si="2"/>
        <v>-49</v>
      </c>
      <c r="P8" s="96">
        <f t="shared" si="2"/>
        <v>-49</v>
      </c>
      <c r="Q8" s="96">
        <f t="shared" si="2"/>
        <v>-49</v>
      </c>
      <c r="R8" s="96">
        <f t="shared" si="2"/>
        <v>-49</v>
      </c>
      <c r="S8" s="96">
        <f t="shared" si="2"/>
        <v>-49</v>
      </c>
      <c r="T8" s="96">
        <f t="shared" si="2"/>
        <v>-49</v>
      </c>
      <c r="U8" s="96">
        <f t="shared" si="2"/>
        <v>-49</v>
      </c>
      <c r="V8" s="97">
        <f t="shared" si="2"/>
        <v>-49</v>
      </c>
    </row>
    <row r="9" spans="1:25" x14ac:dyDescent="0.35">
      <c r="A9" s="34"/>
      <c r="B9" s="98" t="s">
        <v>43</v>
      </c>
      <c r="C9" s="99">
        <v>0</v>
      </c>
      <c r="D9" s="37">
        <f>-$C$9*D6</f>
        <v>0</v>
      </c>
      <c r="E9" s="37">
        <f t="shared" ref="E9:V9" si="3">-$C$9*E6</f>
        <v>0</v>
      </c>
      <c r="F9" s="37">
        <f t="shared" si="3"/>
        <v>0</v>
      </c>
      <c r="G9" s="37">
        <f t="shared" si="3"/>
        <v>0</v>
      </c>
      <c r="H9" s="37">
        <f t="shared" si="3"/>
        <v>0</v>
      </c>
      <c r="I9" s="37">
        <f t="shared" si="3"/>
        <v>0</v>
      </c>
      <c r="J9" s="37">
        <f t="shared" si="3"/>
        <v>0</v>
      </c>
      <c r="K9" s="37">
        <f t="shared" si="3"/>
        <v>0</v>
      </c>
      <c r="L9" s="37">
        <f t="shared" si="3"/>
        <v>0</v>
      </c>
      <c r="M9" s="37">
        <f t="shared" si="3"/>
        <v>0</v>
      </c>
      <c r="N9" s="37">
        <f t="shared" si="3"/>
        <v>0</v>
      </c>
      <c r="O9" s="37">
        <f t="shared" si="3"/>
        <v>0</v>
      </c>
      <c r="P9" s="37">
        <f t="shared" si="3"/>
        <v>0</v>
      </c>
      <c r="Q9" s="37">
        <f t="shared" si="3"/>
        <v>0</v>
      </c>
      <c r="R9" s="37">
        <f t="shared" si="3"/>
        <v>0</v>
      </c>
      <c r="S9" s="37">
        <f t="shared" si="3"/>
        <v>0</v>
      </c>
      <c r="T9" s="37">
        <f t="shared" si="3"/>
        <v>0</v>
      </c>
      <c r="U9" s="37">
        <f t="shared" si="3"/>
        <v>0</v>
      </c>
      <c r="V9" s="54">
        <f t="shared" si="3"/>
        <v>0</v>
      </c>
    </row>
    <row r="10" spans="1:25" ht="15" thickBot="1" x14ac:dyDescent="0.4">
      <c r="B10" s="62" t="s">
        <v>48</v>
      </c>
      <c r="C10" s="63"/>
      <c r="D10" s="64">
        <f>D6+D8</f>
        <v>116</v>
      </c>
      <c r="E10" s="64">
        <f>E6+E8</f>
        <v>132</v>
      </c>
      <c r="F10" s="64">
        <f>F6+F8</f>
        <v>148</v>
      </c>
      <c r="G10" s="64">
        <f>G6+G8</f>
        <v>164</v>
      </c>
      <c r="H10" s="64">
        <f t="shared" ref="H10:V10" si="4">H6+H8</f>
        <v>180</v>
      </c>
      <c r="I10" s="64">
        <f t="shared" si="4"/>
        <v>196</v>
      </c>
      <c r="J10" s="64">
        <f>J6+J8</f>
        <v>196</v>
      </c>
      <c r="K10" s="64">
        <f t="shared" si="4"/>
        <v>196</v>
      </c>
      <c r="L10" s="64">
        <f t="shared" si="4"/>
        <v>196</v>
      </c>
      <c r="M10" s="64">
        <f t="shared" si="4"/>
        <v>196</v>
      </c>
      <c r="N10" s="64">
        <f t="shared" si="4"/>
        <v>196</v>
      </c>
      <c r="O10" s="64">
        <f t="shared" si="4"/>
        <v>196</v>
      </c>
      <c r="P10" s="64">
        <f t="shared" si="4"/>
        <v>196</v>
      </c>
      <c r="Q10" s="64">
        <f t="shared" si="4"/>
        <v>196</v>
      </c>
      <c r="R10" s="64">
        <f t="shared" si="4"/>
        <v>196</v>
      </c>
      <c r="S10" s="64">
        <f t="shared" si="4"/>
        <v>196</v>
      </c>
      <c r="T10" s="64">
        <f t="shared" si="4"/>
        <v>196</v>
      </c>
      <c r="U10" s="64">
        <f t="shared" si="4"/>
        <v>196</v>
      </c>
      <c r="V10" s="64">
        <f t="shared" si="4"/>
        <v>196</v>
      </c>
    </row>
    <row r="11" spans="1:25" ht="15" thickBot="1" x14ac:dyDescent="0.4"/>
    <row r="12" spans="1:25" x14ac:dyDescent="0.35">
      <c r="B12" s="106" t="s">
        <v>55</v>
      </c>
      <c r="C12" s="49"/>
      <c r="D12" s="102">
        <v>181</v>
      </c>
      <c r="E12" s="39"/>
      <c r="F12" s="39"/>
      <c r="G12" s="39"/>
      <c r="H12" s="39"/>
      <c r="I12" s="4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</row>
    <row r="13" spans="1:25" x14ac:dyDescent="0.35">
      <c r="B13" s="43" t="s">
        <v>34</v>
      </c>
      <c r="C13" s="25"/>
      <c r="D13" s="22">
        <v>45</v>
      </c>
      <c r="E13" s="25"/>
      <c r="F13" s="25"/>
      <c r="G13" s="25"/>
      <c r="H13" s="25"/>
      <c r="I13" s="25"/>
      <c r="O13" s="53"/>
      <c r="V13" s="44"/>
    </row>
    <row r="14" spans="1:25" ht="15.75" customHeight="1" x14ac:dyDescent="0.35">
      <c r="A14" s="36"/>
      <c r="B14" s="45" t="s">
        <v>36</v>
      </c>
      <c r="C14" s="37">
        <v>6</v>
      </c>
      <c r="D14" s="37"/>
      <c r="E14" s="104">
        <f>D6/C14</f>
        <v>24.166666666666668</v>
      </c>
      <c r="F14" s="104">
        <f>D6/C14</f>
        <v>24.166666666666668</v>
      </c>
      <c r="G14" s="104">
        <f>D6/C14</f>
        <v>24.166666666666668</v>
      </c>
      <c r="H14" s="104">
        <f>D6/C14</f>
        <v>24.166666666666668</v>
      </c>
      <c r="I14" s="104">
        <f>D6/C14</f>
        <v>24.166666666666668</v>
      </c>
      <c r="J14" s="104">
        <f>D6/C14</f>
        <v>24.166666666666668</v>
      </c>
      <c r="K14" s="37">
        <f>($D$6/$C$14)+E7</f>
        <v>44.166666666666671</v>
      </c>
      <c r="L14" s="37">
        <f>($D$6/$C$14)+F7</f>
        <v>44.166666666666671</v>
      </c>
      <c r="M14" s="37">
        <f>($D$6/$C$14)+G7</f>
        <v>44.166666666666671</v>
      </c>
      <c r="N14" s="37">
        <f>(D6/$C$14)+H7</f>
        <v>44.166666666666671</v>
      </c>
      <c r="O14" s="37">
        <f>(D6/$C$14)+I7</f>
        <v>44.166666666666671</v>
      </c>
      <c r="P14" s="104">
        <f>(D6+J7)/C14</f>
        <v>24.166666666666668</v>
      </c>
      <c r="Q14" s="37">
        <f t="shared" ref="Q14:V14" si="5">(K6/$C$14)+K7</f>
        <v>40.833333333333336</v>
      </c>
      <c r="R14" s="37">
        <f t="shared" si="5"/>
        <v>40.833333333333336</v>
      </c>
      <c r="S14" s="37">
        <f t="shared" si="5"/>
        <v>40.833333333333336</v>
      </c>
      <c r="T14" s="37">
        <f t="shared" si="5"/>
        <v>40.833333333333336</v>
      </c>
      <c r="U14" s="37">
        <f t="shared" si="5"/>
        <v>40.833333333333336</v>
      </c>
      <c r="V14" s="37">
        <f t="shared" si="5"/>
        <v>40.833333333333336</v>
      </c>
    </row>
    <row r="15" spans="1:25" ht="15.75" customHeight="1" x14ac:dyDescent="0.35">
      <c r="A15" s="36"/>
      <c r="B15" s="72" t="s">
        <v>51</v>
      </c>
      <c r="C15" s="51">
        <v>0.15</v>
      </c>
      <c r="D15" s="37"/>
      <c r="E15" s="37">
        <f>-E14*$C$15</f>
        <v>-3.625</v>
      </c>
      <c r="F15" s="37">
        <f t="shared" ref="F15:V15" si="6">-F14*$C$15</f>
        <v>-3.625</v>
      </c>
      <c r="G15" s="37">
        <f t="shared" si="6"/>
        <v>-3.625</v>
      </c>
      <c r="H15" s="37">
        <f t="shared" si="6"/>
        <v>-3.625</v>
      </c>
      <c r="I15" s="37">
        <f t="shared" si="6"/>
        <v>-3.625</v>
      </c>
      <c r="J15" s="37">
        <f t="shared" si="6"/>
        <v>-3.625</v>
      </c>
      <c r="K15" s="37">
        <f t="shared" si="6"/>
        <v>-6.6250000000000009</v>
      </c>
      <c r="L15" s="37">
        <f t="shared" si="6"/>
        <v>-6.6250000000000009</v>
      </c>
      <c r="M15" s="37">
        <f t="shared" si="6"/>
        <v>-6.6250000000000009</v>
      </c>
      <c r="N15" s="37">
        <f t="shared" si="6"/>
        <v>-6.6250000000000009</v>
      </c>
      <c r="O15" s="37">
        <f t="shared" si="6"/>
        <v>-6.6250000000000009</v>
      </c>
      <c r="P15" s="37">
        <f t="shared" si="6"/>
        <v>-3.625</v>
      </c>
      <c r="Q15" s="37">
        <f t="shared" si="6"/>
        <v>-6.125</v>
      </c>
      <c r="R15" s="37">
        <f t="shared" si="6"/>
        <v>-6.125</v>
      </c>
      <c r="S15" s="37">
        <f t="shared" si="6"/>
        <v>-6.125</v>
      </c>
      <c r="T15" s="37">
        <f t="shared" si="6"/>
        <v>-6.125</v>
      </c>
      <c r="U15" s="37">
        <f t="shared" si="6"/>
        <v>-6.125</v>
      </c>
      <c r="V15" s="37">
        <f t="shared" si="6"/>
        <v>-6.125</v>
      </c>
      <c r="W15" s="5"/>
    </row>
    <row r="16" spans="1:25" x14ac:dyDescent="0.35">
      <c r="B16" s="73" t="s">
        <v>37</v>
      </c>
      <c r="C16" s="46">
        <v>6</v>
      </c>
      <c r="D16" s="46"/>
      <c r="E16" s="46">
        <f>-$C$16</f>
        <v>-6</v>
      </c>
      <c r="F16" s="46">
        <f t="shared" ref="F16:V16" si="7">-$C$16</f>
        <v>-6</v>
      </c>
      <c r="G16" s="46">
        <f t="shared" si="7"/>
        <v>-6</v>
      </c>
      <c r="H16" s="46">
        <f t="shared" si="7"/>
        <v>-6</v>
      </c>
      <c r="I16" s="46">
        <f t="shared" si="7"/>
        <v>-6</v>
      </c>
      <c r="J16" s="46">
        <f t="shared" si="7"/>
        <v>-6</v>
      </c>
      <c r="K16" s="46">
        <f t="shared" si="7"/>
        <v>-6</v>
      </c>
      <c r="L16" s="46">
        <f t="shared" si="7"/>
        <v>-6</v>
      </c>
      <c r="M16" s="46">
        <f t="shared" si="7"/>
        <v>-6</v>
      </c>
      <c r="N16" s="46">
        <f t="shared" si="7"/>
        <v>-6</v>
      </c>
      <c r="O16" s="46">
        <f t="shared" si="7"/>
        <v>-6</v>
      </c>
      <c r="P16" s="46">
        <f t="shared" si="7"/>
        <v>-6</v>
      </c>
      <c r="Q16" s="46">
        <f t="shared" si="7"/>
        <v>-6</v>
      </c>
      <c r="R16" s="46">
        <f t="shared" si="7"/>
        <v>-6</v>
      </c>
      <c r="S16" s="46">
        <f t="shared" si="7"/>
        <v>-6</v>
      </c>
      <c r="T16" s="46">
        <f t="shared" si="7"/>
        <v>-6</v>
      </c>
      <c r="U16" s="46">
        <f t="shared" si="7"/>
        <v>-6</v>
      </c>
      <c r="V16" s="55">
        <f t="shared" si="7"/>
        <v>-6</v>
      </c>
    </row>
    <row r="17" spans="2:23" x14ac:dyDescent="0.35">
      <c r="B17" s="74" t="s">
        <v>38</v>
      </c>
      <c r="C17" s="46">
        <v>1</v>
      </c>
      <c r="D17" s="46"/>
      <c r="E17" s="46">
        <f>-$C$17</f>
        <v>-1</v>
      </c>
      <c r="F17" s="46">
        <f t="shared" ref="F17:V17" si="8">-$C$17</f>
        <v>-1</v>
      </c>
      <c r="G17" s="46">
        <f t="shared" si="8"/>
        <v>-1</v>
      </c>
      <c r="H17" s="46">
        <f t="shared" si="8"/>
        <v>-1</v>
      </c>
      <c r="I17" s="46">
        <f t="shared" si="8"/>
        <v>-1</v>
      </c>
      <c r="J17" s="46">
        <f t="shared" si="8"/>
        <v>-1</v>
      </c>
      <c r="K17" s="46">
        <f t="shared" si="8"/>
        <v>-1</v>
      </c>
      <c r="L17" s="46">
        <f t="shared" si="8"/>
        <v>-1</v>
      </c>
      <c r="M17" s="46">
        <f t="shared" si="8"/>
        <v>-1</v>
      </c>
      <c r="N17" s="46">
        <f t="shared" si="8"/>
        <v>-1</v>
      </c>
      <c r="O17" s="46">
        <f t="shared" si="8"/>
        <v>-1</v>
      </c>
      <c r="P17" s="46">
        <f t="shared" si="8"/>
        <v>-1</v>
      </c>
      <c r="Q17" s="46">
        <f t="shared" si="8"/>
        <v>-1</v>
      </c>
      <c r="R17" s="46">
        <f t="shared" si="8"/>
        <v>-1</v>
      </c>
      <c r="S17" s="46">
        <f t="shared" si="8"/>
        <v>-1</v>
      </c>
      <c r="T17" s="46">
        <f t="shared" si="8"/>
        <v>-1</v>
      </c>
      <c r="U17" s="46">
        <f t="shared" si="8"/>
        <v>-1</v>
      </c>
      <c r="V17" s="55">
        <f t="shared" si="8"/>
        <v>-1</v>
      </c>
    </row>
    <row r="18" spans="2:23" x14ac:dyDescent="0.35">
      <c r="B18" s="75" t="s">
        <v>40</v>
      </c>
      <c r="C18" s="35"/>
      <c r="D18" s="35">
        <f>SUM(D12:D17)</f>
        <v>226</v>
      </c>
      <c r="E18" s="35">
        <f>SUM(D18+E14+E15+E16+E17)</f>
        <v>239.54166666666666</v>
      </c>
      <c r="F18" s="35">
        <f>SUM(E18+E19+F14+F15+F16+F17+E20)</f>
        <v>243.9780833333333</v>
      </c>
      <c r="G18" s="35">
        <f t="shared" ref="G18:V18" si="9">SUM(F18+F19+G14+G15+G16+G17)</f>
        <v>248.22373408333328</v>
      </c>
      <c r="H18" s="35">
        <f t="shared" si="9"/>
        <v>252.28682185108329</v>
      </c>
      <c r="I18" s="35">
        <f t="shared" si="9"/>
        <v>256.17519684482005</v>
      </c>
      <c r="J18" s="35">
        <f t="shared" si="9"/>
        <v>259.89637171382611</v>
      </c>
      <c r="K18" s="35">
        <f t="shared" si="9"/>
        <v>280.45753606346494</v>
      </c>
      <c r="L18" s="35">
        <f t="shared" si="9"/>
        <v>301.1235703460693</v>
      </c>
      <c r="M18" s="35">
        <f t="shared" si="9"/>
        <v>320.90096515452166</v>
      </c>
      <c r="N18" s="35">
        <f t="shared" si="9"/>
        <v>339.82793198621056</v>
      </c>
      <c r="O18" s="35">
        <f t="shared" si="9"/>
        <v>357.94103924413685</v>
      </c>
      <c r="P18" s="35">
        <f t="shared" si="9"/>
        <v>358.27528288997229</v>
      </c>
      <c r="Q18" s="35">
        <f t="shared" si="9"/>
        <v>371.77282072570347</v>
      </c>
      <c r="R18" s="35">
        <f t="shared" si="9"/>
        <v>385.51413110116488</v>
      </c>
      <c r="S18" s="35">
        <f t="shared" si="9"/>
        <v>398.66456513048144</v>
      </c>
      <c r="T18" s="35">
        <f t="shared" si="9"/>
        <v>411.24953049653737</v>
      </c>
      <c r="U18" s="35">
        <f t="shared" si="9"/>
        <v>423.29334235185291</v>
      </c>
      <c r="V18" s="56">
        <f t="shared" si="9"/>
        <v>434.81927029738989</v>
      </c>
    </row>
    <row r="19" spans="2:23" x14ac:dyDescent="0.35">
      <c r="B19" s="76" t="s">
        <v>52</v>
      </c>
      <c r="C19" s="65">
        <v>4.2999999999999997E-2</v>
      </c>
      <c r="D19" s="66"/>
      <c r="E19" s="66">
        <f>-(E18-E14+E15)*$C$19</f>
        <v>-9.1052499999999998</v>
      </c>
      <c r="F19" s="66">
        <f t="shared" ref="F19:V19" si="10">-(F18-F14+F15)*$C$19</f>
        <v>-9.2960159166666649</v>
      </c>
      <c r="G19" s="66">
        <f t="shared" si="10"/>
        <v>-9.4785788989166644</v>
      </c>
      <c r="H19" s="66">
        <f t="shared" si="10"/>
        <v>-9.6532916729299139</v>
      </c>
      <c r="I19" s="66">
        <f t="shared" si="10"/>
        <v>-9.8204917976605959</v>
      </c>
      <c r="J19" s="66">
        <f t="shared" si="10"/>
        <v>-9.980502317027856</v>
      </c>
      <c r="K19" s="66">
        <f t="shared" si="10"/>
        <v>-9.8756323840623246</v>
      </c>
      <c r="L19" s="66">
        <f>-(L18-L14+L15)*$C$19</f>
        <v>-10.764271858214311</v>
      </c>
      <c r="M19" s="66">
        <f t="shared" si="10"/>
        <v>-11.614699834977763</v>
      </c>
      <c r="N19" s="66">
        <f t="shared" si="10"/>
        <v>-12.428559408740385</v>
      </c>
      <c r="O19" s="66">
        <f t="shared" si="10"/>
        <v>-13.207423020831216</v>
      </c>
      <c r="P19" s="66">
        <f t="shared" si="10"/>
        <v>-14.21079549760214</v>
      </c>
      <c r="Q19" s="66">
        <f t="shared" si="10"/>
        <v>-13.967022957871915</v>
      </c>
      <c r="R19" s="66">
        <f t="shared" si="10"/>
        <v>-14.557899304016756</v>
      </c>
      <c r="S19" s="66">
        <f t="shared" si="10"/>
        <v>-15.123367967277368</v>
      </c>
      <c r="T19" s="66">
        <f t="shared" si="10"/>
        <v>-15.664521478017774</v>
      </c>
      <c r="U19" s="66">
        <f t="shared" si="10"/>
        <v>-16.18240538779634</v>
      </c>
      <c r="V19" s="67">
        <f t="shared" si="10"/>
        <v>-16.67802028945443</v>
      </c>
      <c r="W19" s="50"/>
    </row>
    <row r="20" spans="2:23" x14ac:dyDescent="0.35">
      <c r="B20" s="76"/>
      <c r="C20" s="65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7"/>
      <c r="W20" s="50"/>
    </row>
    <row r="21" spans="2:23" x14ac:dyDescent="0.35">
      <c r="B21" s="77" t="s">
        <v>44</v>
      </c>
      <c r="C21" s="61">
        <v>0.2</v>
      </c>
      <c r="D21" s="66">
        <f t="shared" ref="D21:V21" si="11">-$C$21*D18</f>
        <v>-45.2</v>
      </c>
      <c r="E21" s="66">
        <f t="shared" si="11"/>
        <v>-47.908333333333331</v>
      </c>
      <c r="F21" s="66">
        <f t="shared" si="11"/>
        <v>-48.79561666666666</v>
      </c>
      <c r="G21" s="66">
        <f t="shared" si="11"/>
        <v>-49.644746816666661</v>
      </c>
      <c r="H21" s="66">
        <f t="shared" si="11"/>
        <v>-50.457364370216659</v>
      </c>
      <c r="I21" s="66">
        <f t="shared" si="11"/>
        <v>-51.23503936896401</v>
      </c>
      <c r="J21" s="66">
        <f t="shared" si="11"/>
        <v>-51.979274342765223</v>
      </c>
      <c r="K21" s="66">
        <f t="shared" si="11"/>
        <v>-56.091507212692989</v>
      </c>
      <c r="L21" s="66">
        <f t="shared" si="11"/>
        <v>-60.22471406921386</v>
      </c>
      <c r="M21" s="66">
        <f t="shared" si="11"/>
        <v>-64.180193030904334</v>
      </c>
      <c r="N21" s="66">
        <f t="shared" si="11"/>
        <v>-67.96558639724212</v>
      </c>
      <c r="O21" s="66">
        <f t="shared" si="11"/>
        <v>-71.588207848827366</v>
      </c>
      <c r="P21" s="66">
        <f t="shared" si="11"/>
        <v>-71.655056577994458</v>
      </c>
      <c r="Q21" s="66">
        <f t="shared" si="11"/>
        <v>-74.354564145140699</v>
      </c>
      <c r="R21" s="66">
        <f t="shared" si="11"/>
        <v>-77.102826220232984</v>
      </c>
      <c r="S21" s="66">
        <f t="shared" si="11"/>
        <v>-79.732913026096298</v>
      </c>
      <c r="T21" s="66">
        <f t="shared" si="11"/>
        <v>-82.249906099307481</v>
      </c>
      <c r="U21" s="66">
        <f t="shared" si="11"/>
        <v>-84.658668470370586</v>
      </c>
      <c r="V21" s="67">
        <f t="shared" si="11"/>
        <v>-86.963854059477981</v>
      </c>
      <c r="W21" s="50"/>
    </row>
    <row r="22" spans="2:23" ht="15" thickBot="1" x14ac:dyDescent="0.4">
      <c r="B22" s="68" t="s">
        <v>53</v>
      </c>
      <c r="C22" s="78">
        <v>0.12</v>
      </c>
      <c r="D22" s="79">
        <f t="shared" ref="D22:V22" si="12">-$C$22*D18</f>
        <v>-27.119999999999997</v>
      </c>
      <c r="E22" s="79">
        <f t="shared" si="12"/>
        <v>-28.744999999999997</v>
      </c>
      <c r="F22" s="79">
        <f t="shared" si="12"/>
        <v>-29.277369999999994</v>
      </c>
      <c r="G22" s="79">
        <f t="shared" si="12"/>
        <v>-29.786848089999992</v>
      </c>
      <c r="H22" s="79">
        <f t="shared" si="12"/>
        <v>-30.274418622129993</v>
      </c>
      <c r="I22" s="79">
        <f t="shared" si="12"/>
        <v>-30.741023621378403</v>
      </c>
      <c r="J22" s="79">
        <f t="shared" si="12"/>
        <v>-31.187564605659134</v>
      </c>
      <c r="K22" s="79">
        <f t="shared" si="12"/>
        <v>-33.654904327615789</v>
      </c>
      <c r="L22" s="79">
        <f t="shared" si="12"/>
        <v>-36.134828441528313</v>
      </c>
      <c r="M22" s="79">
        <f t="shared" si="12"/>
        <v>-38.508115818542599</v>
      </c>
      <c r="N22" s="79">
        <f t="shared" si="12"/>
        <v>-40.779351838345264</v>
      </c>
      <c r="O22" s="79">
        <f t="shared" si="12"/>
        <v>-42.952924709296418</v>
      </c>
      <c r="P22" s="79">
        <f t="shared" si="12"/>
        <v>-42.993033946796672</v>
      </c>
      <c r="Q22" s="79">
        <f t="shared" si="12"/>
        <v>-44.612738487084414</v>
      </c>
      <c r="R22" s="79">
        <f t="shared" si="12"/>
        <v>-46.261695732139785</v>
      </c>
      <c r="S22" s="79">
        <f t="shared" si="12"/>
        <v>-47.839747815657773</v>
      </c>
      <c r="T22" s="79">
        <f t="shared" si="12"/>
        <v>-49.349943659584483</v>
      </c>
      <c r="U22" s="79">
        <f t="shared" si="12"/>
        <v>-50.795201082222349</v>
      </c>
      <c r="V22" s="80">
        <f t="shared" si="12"/>
        <v>-52.178312435686784</v>
      </c>
      <c r="W22" s="50"/>
    </row>
    <row r="23" spans="2:23" ht="22.5" customHeight="1" thickBot="1" x14ac:dyDescent="0.4">
      <c r="B23" s="107" t="s">
        <v>58</v>
      </c>
      <c r="C23" s="48"/>
      <c r="D23" s="48">
        <f t="shared" ref="D23:V23" si="13">SUM(D18:D22)</f>
        <v>153.68</v>
      </c>
      <c r="E23" s="48">
        <f t="shared" si="13"/>
        <v>153.78308333333331</v>
      </c>
      <c r="F23" s="48">
        <f t="shared" si="13"/>
        <v>156.60908074999998</v>
      </c>
      <c r="G23" s="48">
        <f t="shared" si="13"/>
        <v>159.31356027774996</v>
      </c>
      <c r="H23" s="48">
        <f t="shared" si="13"/>
        <v>161.90174718580673</v>
      </c>
      <c r="I23" s="48">
        <f t="shared" si="13"/>
        <v>164.37864205681706</v>
      </c>
      <c r="J23" s="48">
        <f t="shared" si="13"/>
        <v>166.7490304483739</v>
      </c>
      <c r="K23" s="48">
        <f t="shared" si="13"/>
        <v>180.83549213909384</v>
      </c>
      <c r="L23" s="48">
        <f t="shared" si="13"/>
        <v>193.99975597711278</v>
      </c>
      <c r="M23" s="48">
        <f t="shared" si="13"/>
        <v>206.59795647009696</v>
      </c>
      <c r="N23" s="48">
        <f t="shared" si="13"/>
        <v>218.65443434188276</v>
      </c>
      <c r="O23" s="48">
        <f t="shared" si="13"/>
        <v>230.19248366518181</v>
      </c>
      <c r="P23" s="48">
        <f t="shared" si="13"/>
        <v>229.41639686757901</v>
      </c>
      <c r="Q23" s="48">
        <f t="shared" si="13"/>
        <v>238.83849513560648</v>
      </c>
      <c r="R23" s="48">
        <f t="shared" si="13"/>
        <v>247.59170984477532</v>
      </c>
      <c r="S23" s="48">
        <f t="shared" si="13"/>
        <v>255.96853632144999</v>
      </c>
      <c r="T23" s="48">
        <f t="shared" si="13"/>
        <v>263.98515925962761</v>
      </c>
      <c r="U23" s="48">
        <f t="shared" si="13"/>
        <v>271.65706741146369</v>
      </c>
      <c r="V23" s="81">
        <f t="shared" si="13"/>
        <v>278.99908351277071</v>
      </c>
    </row>
    <row r="25" spans="2:23" ht="15" thickBot="1" x14ac:dyDescent="0.4"/>
    <row r="26" spans="2:23" ht="29.5" thickBot="1" x14ac:dyDescent="0.4">
      <c r="B26" s="108" t="s">
        <v>56</v>
      </c>
      <c r="C26" s="52">
        <v>0.5</v>
      </c>
      <c r="D26" s="48">
        <f>D23+(C26*D10)</f>
        <v>211.68</v>
      </c>
      <c r="E26" s="48">
        <f t="shared" ref="E26:V26" si="14">E23+($C$26*E10)</f>
        <v>219.78308333333331</v>
      </c>
      <c r="F26" s="48">
        <f t="shared" si="14"/>
        <v>230.60908074999998</v>
      </c>
      <c r="G26" s="48">
        <f t="shared" si="14"/>
        <v>241.31356027774996</v>
      </c>
      <c r="H26" s="48">
        <f t="shared" si="14"/>
        <v>251.90174718580673</v>
      </c>
      <c r="I26" s="48">
        <f t="shared" si="14"/>
        <v>262.37864205681706</v>
      </c>
      <c r="J26" s="48">
        <f t="shared" si="14"/>
        <v>264.7490304483739</v>
      </c>
      <c r="K26" s="48">
        <f t="shared" si="14"/>
        <v>278.83549213909384</v>
      </c>
      <c r="L26" s="48">
        <f t="shared" si="14"/>
        <v>291.99975597711278</v>
      </c>
      <c r="M26" s="48">
        <f t="shared" si="14"/>
        <v>304.59795647009696</v>
      </c>
      <c r="N26" s="48">
        <f t="shared" si="14"/>
        <v>316.65443434188273</v>
      </c>
      <c r="O26" s="48">
        <f t="shared" si="14"/>
        <v>328.19248366518184</v>
      </c>
      <c r="P26" s="48">
        <f t="shared" si="14"/>
        <v>327.41639686757901</v>
      </c>
      <c r="Q26" s="48">
        <f t="shared" si="14"/>
        <v>336.83849513560648</v>
      </c>
      <c r="R26" s="48">
        <f t="shared" si="14"/>
        <v>345.59170984477532</v>
      </c>
      <c r="S26" s="48">
        <f t="shared" si="14"/>
        <v>353.96853632144996</v>
      </c>
      <c r="T26" s="48">
        <f t="shared" si="14"/>
        <v>361.98515925962761</v>
      </c>
      <c r="U26" s="48">
        <f t="shared" si="14"/>
        <v>369.65706741146369</v>
      </c>
      <c r="V26" s="48">
        <f t="shared" si="14"/>
        <v>376.99908351277071</v>
      </c>
    </row>
    <row r="27" spans="2:23" ht="15" thickBot="1" x14ac:dyDescent="0.4">
      <c r="B27" s="9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2:23" ht="15" thickBot="1" x14ac:dyDescent="0.4">
      <c r="B28" s="87" t="s">
        <v>39</v>
      </c>
      <c r="C28" s="88">
        <v>2000</v>
      </c>
      <c r="D28" s="89">
        <f>472034+$C$28</f>
        <v>474034</v>
      </c>
      <c r="E28" s="89">
        <f>D28+$C$28</f>
        <v>476034</v>
      </c>
      <c r="F28" s="89">
        <f t="shared" ref="F28:V28" si="15">E28+$C$28</f>
        <v>478034</v>
      </c>
      <c r="G28" s="89">
        <f t="shared" si="15"/>
        <v>480034</v>
      </c>
      <c r="H28" s="89">
        <f t="shared" si="15"/>
        <v>482034</v>
      </c>
      <c r="I28" s="89">
        <f t="shared" si="15"/>
        <v>484034</v>
      </c>
      <c r="J28" s="89">
        <f t="shared" si="15"/>
        <v>486034</v>
      </c>
      <c r="K28" s="89">
        <f t="shared" si="15"/>
        <v>488034</v>
      </c>
      <c r="L28" s="89">
        <f t="shared" si="15"/>
        <v>490034</v>
      </c>
      <c r="M28" s="89">
        <f t="shared" si="15"/>
        <v>492034</v>
      </c>
      <c r="N28" s="89">
        <f t="shared" si="15"/>
        <v>494034</v>
      </c>
      <c r="O28" s="89">
        <f t="shared" si="15"/>
        <v>496034</v>
      </c>
      <c r="P28" s="89">
        <f t="shared" si="15"/>
        <v>498034</v>
      </c>
      <c r="Q28" s="89">
        <f t="shared" si="15"/>
        <v>500034</v>
      </c>
      <c r="R28" s="89">
        <f t="shared" si="15"/>
        <v>502034</v>
      </c>
      <c r="S28" s="89">
        <f t="shared" si="15"/>
        <v>504034</v>
      </c>
      <c r="T28" s="89">
        <f t="shared" si="15"/>
        <v>506034</v>
      </c>
      <c r="U28" s="89">
        <f t="shared" si="15"/>
        <v>508034</v>
      </c>
      <c r="V28" s="90">
        <f t="shared" si="15"/>
        <v>510034</v>
      </c>
    </row>
    <row r="29" spans="2:23" ht="15" thickBot="1" x14ac:dyDescent="0.4">
      <c r="B29" s="92"/>
      <c r="C29" s="69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2:23" x14ac:dyDescent="0.35">
      <c r="B30" s="82" t="s">
        <v>50</v>
      </c>
      <c r="C30" s="83"/>
      <c r="D30" s="84">
        <v>8</v>
      </c>
      <c r="E30" s="84">
        <v>8</v>
      </c>
      <c r="F30" s="84">
        <v>8</v>
      </c>
      <c r="G30" s="84">
        <v>8</v>
      </c>
      <c r="H30" s="84">
        <v>8</v>
      </c>
      <c r="I30" s="84">
        <v>8</v>
      </c>
      <c r="J30" s="84">
        <v>8</v>
      </c>
      <c r="K30" s="84">
        <v>8</v>
      </c>
      <c r="L30" s="84">
        <v>8</v>
      </c>
      <c r="M30" s="84">
        <v>8</v>
      </c>
      <c r="N30" s="84">
        <v>8</v>
      </c>
      <c r="O30" s="84">
        <v>8</v>
      </c>
      <c r="P30" s="84">
        <v>8</v>
      </c>
      <c r="Q30" s="84">
        <v>8</v>
      </c>
      <c r="R30" s="84">
        <v>8</v>
      </c>
      <c r="S30" s="84">
        <v>8</v>
      </c>
      <c r="T30" s="84">
        <v>8</v>
      </c>
      <c r="U30" s="84">
        <v>8</v>
      </c>
      <c r="V30" s="84">
        <v>8</v>
      </c>
    </row>
    <row r="31" spans="2:23" x14ac:dyDescent="0.35">
      <c r="B31" s="101" t="s">
        <v>33</v>
      </c>
      <c r="C31" s="100"/>
      <c r="D31" s="66">
        <v>20</v>
      </c>
      <c r="E31" s="66">
        <v>15</v>
      </c>
      <c r="F31" s="66">
        <v>15</v>
      </c>
      <c r="G31" s="66">
        <v>10</v>
      </c>
      <c r="H31" s="66">
        <v>10</v>
      </c>
      <c r="I31" s="66">
        <v>5</v>
      </c>
      <c r="J31" s="66">
        <v>5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</row>
    <row r="32" spans="2:23" ht="15" thickBot="1" x14ac:dyDescent="0.4">
      <c r="B32" s="85" t="s">
        <v>10</v>
      </c>
      <c r="C32" s="86"/>
      <c r="D32" s="79">
        <v>85</v>
      </c>
      <c r="E32" s="79">
        <v>85</v>
      </c>
      <c r="F32" s="79">
        <v>85</v>
      </c>
      <c r="G32" s="79">
        <v>85</v>
      </c>
      <c r="H32" s="79">
        <v>85</v>
      </c>
      <c r="I32" s="79">
        <v>85</v>
      </c>
      <c r="J32" s="79">
        <v>85</v>
      </c>
      <c r="K32" s="79">
        <v>85</v>
      </c>
      <c r="L32" s="79">
        <v>85</v>
      </c>
      <c r="M32" s="79">
        <v>80</v>
      </c>
      <c r="N32" s="79">
        <v>80</v>
      </c>
      <c r="O32" s="79">
        <v>80</v>
      </c>
      <c r="P32" s="79">
        <v>80</v>
      </c>
      <c r="Q32" s="79">
        <v>60</v>
      </c>
      <c r="R32" s="79">
        <v>60</v>
      </c>
      <c r="S32" s="79">
        <v>60</v>
      </c>
      <c r="T32" s="79">
        <v>60</v>
      </c>
      <c r="U32" s="79">
        <v>60</v>
      </c>
      <c r="V32" s="80">
        <v>60</v>
      </c>
    </row>
    <row r="33" spans="2:22" x14ac:dyDescent="0.35">
      <c r="B33" s="93"/>
      <c r="C33" s="6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2:22" x14ac:dyDescent="0.35">
      <c r="B34" s="70" t="s">
        <v>45</v>
      </c>
      <c r="C34" s="71"/>
      <c r="D34" s="71">
        <f>D28/D26</f>
        <v>2239.3896447467873</v>
      </c>
      <c r="E34" s="71">
        <f t="shared" ref="E34:V34" si="16">E28/E26</f>
        <v>2165.9264797829073</v>
      </c>
      <c r="F34" s="71">
        <f t="shared" si="16"/>
        <v>2072.9192382420961</v>
      </c>
      <c r="G34" s="71">
        <f t="shared" si="16"/>
        <v>1989.2541448871946</v>
      </c>
      <c r="H34" s="71">
        <f t="shared" si="16"/>
        <v>1913.5794228709501</v>
      </c>
      <c r="I34" s="71">
        <f t="shared" si="16"/>
        <v>1844.7919243944573</v>
      </c>
      <c r="J34" s="71">
        <f t="shared" si="16"/>
        <v>1835.8291970960654</v>
      </c>
      <c r="K34" s="71">
        <f t="shared" si="16"/>
        <v>1750.257817812339</v>
      </c>
      <c r="L34" s="71">
        <f t="shared" si="16"/>
        <v>1678.2000326000591</v>
      </c>
      <c r="M34" s="71">
        <f t="shared" si="16"/>
        <v>1615.3555516328752</v>
      </c>
      <c r="N34" s="71">
        <f t="shared" si="16"/>
        <v>1560.1676351912558</v>
      </c>
      <c r="O34" s="71">
        <f t="shared" si="16"/>
        <v>1511.4118229046589</v>
      </c>
      <c r="P34" s="71">
        <f t="shared" si="16"/>
        <v>1521.1028059826397</v>
      </c>
      <c r="Q34" s="71">
        <f t="shared" si="16"/>
        <v>1484.4918476396033</v>
      </c>
      <c r="R34" s="71">
        <f t="shared" si="16"/>
        <v>1452.6795223921654</v>
      </c>
      <c r="S34" s="71">
        <f t="shared" si="16"/>
        <v>1423.9514201970508</v>
      </c>
      <c r="T34" s="71">
        <f t="shared" si="16"/>
        <v>1397.9412886290618</v>
      </c>
      <c r="U34" s="71">
        <f t="shared" si="16"/>
        <v>1374.3386635551851</v>
      </c>
      <c r="V34" s="71">
        <f t="shared" si="16"/>
        <v>1352.8786204137357</v>
      </c>
    </row>
    <row r="35" spans="2:22" x14ac:dyDescent="0.35">
      <c r="B35" s="70" t="s">
        <v>46</v>
      </c>
      <c r="C35" s="71"/>
      <c r="D35" s="71">
        <f>D28/(D26+D31+D30+D32*0.5)</f>
        <v>1679.8993550216173</v>
      </c>
      <c r="E35" s="71">
        <f>E28/(E26+E31+E30+E32*0.5)</f>
        <v>1668.6373213506936</v>
      </c>
      <c r="F35" s="71">
        <f t="shared" ref="F35:V35" si="17">F28/(F26+F31+F30+F32*0.5)</f>
        <v>1614.384803023303</v>
      </c>
      <c r="G35" s="71">
        <f t="shared" si="17"/>
        <v>1590.4984506270664</v>
      </c>
      <c r="H35" s="71">
        <f t="shared" si="17"/>
        <v>1542.9939311872715</v>
      </c>
      <c r="I35" s="71">
        <f t="shared" si="17"/>
        <v>1522.7006031864344</v>
      </c>
      <c r="J35" s="71">
        <f t="shared" si="17"/>
        <v>1517.6751646039772</v>
      </c>
      <c r="K35" s="71">
        <f t="shared" si="17"/>
        <v>1481.874901578723</v>
      </c>
      <c r="L35" s="71">
        <f t="shared" si="17"/>
        <v>1430.7572237591494</v>
      </c>
      <c r="M35" s="71">
        <f t="shared" si="17"/>
        <v>1395.4533512497208</v>
      </c>
      <c r="N35" s="71">
        <f t="shared" si="17"/>
        <v>1354.8004726491743</v>
      </c>
      <c r="O35" s="71">
        <f t="shared" si="17"/>
        <v>1318.5643561169056</v>
      </c>
      <c r="P35" s="71">
        <f t="shared" si="17"/>
        <v>1326.6176015632902</v>
      </c>
      <c r="Q35" s="71">
        <f t="shared" si="17"/>
        <v>1333.998526002782</v>
      </c>
      <c r="R35" s="71">
        <f t="shared" si="17"/>
        <v>1308.7717672604385</v>
      </c>
      <c r="S35" s="71">
        <f t="shared" si="17"/>
        <v>1285.904232850583</v>
      </c>
      <c r="T35" s="71">
        <f t="shared" si="17"/>
        <v>1265.1319387365991</v>
      </c>
      <c r="U35" s="71">
        <f t="shared" si="17"/>
        <v>1246.2288541344533</v>
      </c>
      <c r="V35" s="71">
        <f t="shared" si="17"/>
        <v>1229.0003044893588</v>
      </c>
    </row>
    <row r="36" spans="2:22" x14ac:dyDescent="0.35">
      <c r="B36" s="105" t="s">
        <v>54</v>
      </c>
      <c r="C36" s="105"/>
      <c r="D36" s="105">
        <f>(D28/1100)-D26</f>
        <v>219.26</v>
      </c>
      <c r="E36" s="105">
        <f>(E28/1100)-E26</f>
        <v>212.9750984848485</v>
      </c>
      <c r="F36" s="105">
        <f t="shared" ref="F36:V36" si="18">(F28/1100)-F26</f>
        <v>203.96728288636365</v>
      </c>
      <c r="G36" s="105">
        <f t="shared" si="18"/>
        <v>195.08098517679548</v>
      </c>
      <c r="H36" s="105">
        <f t="shared" si="18"/>
        <v>186.31098008692052</v>
      </c>
      <c r="I36" s="105">
        <f t="shared" si="18"/>
        <v>177.65226703409201</v>
      </c>
      <c r="J36" s="105">
        <f t="shared" si="18"/>
        <v>177.10006046071703</v>
      </c>
      <c r="K36" s="105">
        <f t="shared" si="18"/>
        <v>164.8317805881789</v>
      </c>
      <c r="L36" s="105">
        <f t="shared" si="18"/>
        <v>153.48569856834177</v>
      </c>
      <c r="M36" s="105">
        <f>(M28/1100)-M26</f>
        <v>142.70567989353941</v>
      </c>
      <c r="N36" s="105">
        <f t="shared" si="18"/>
        <v>132.46738383993545</v>
      </c>
      <c r="O36" s="105">
        <f t="shared" si="18"/>
        <v>122.74751633481816</v>
      </c>
      <c r="P36" s="105">
        <f t="shared" si="18"/>
        <v>125.3417849506028</v>
      </c>
      <c r="Q36" s="105">
        <f t="shared" si="18"/>
        <v>117.73786850075714</v>
      </c>
      <c r="R36" s="105">
        <f t="shared" si="18"/>
        <v>110.80283560977011</v>
      </c>
      <c r="S36" s="105">
        <f t="shared" si="18"/>
        <v>104.24419095127729</v>
      </c>
      <c r="T36" s="105">
        <f t="shared" si="18"/>
        <v>98.045749831281455</v>
      </c>
      <c r="U36" s="105">
        <f t="shared" si="18"/>
        <v>92.192023497627247</v>
      </c>
      <c r="V36" s="105">
        <f t="shared" si="18"/>
        <v>86.668189214502036</v>
      </c>
    </row>
    <row r="37" spans="2:22" x14ac:dyDescent="0.3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"/>
  <sheetViews>
    <sheetView topLeftCell="A4" zoomScaleNormal="100" workbookViewId="0">
      <selection activeCell="V24" sqref="V24"/>
    </sheetView>
  </sheetViews>
  <sheetFormatPr defaultRowHeight="14.5" x14ac:dyDescent="0.35"/>
  <cols>
    <col min="1" max="1" width="5.81640625" customWidth="1"/>
    <col min="2" max="2" width="45.81640625" customWidth="1"/>
    <col min="3" max="3" width="8.1796875" customWidth="1"/>
    <col min="4" max="4" width="10.453125" customWidth="1"/>
    <col min="5" max="6" width="8.453125" customWidth="1"/>
    <col min="7" max="8" width="8.1796875" customWidth="1"/>
    <col min="9" max="9" width="8.453125" customWidth="1"/>
    <col min="10" max="10" width="8.1796875" customWidth="1"/>
    <col min="11" max="11" width="8" customWidth="1"/>
    <col min="16" max="16" width="9.1796875" customWidth="1"/>
    <col min="17" max="17" width="12.54296875" customWidth="1"/>
    <col min="19" max="19" width="12" customWidth="1"/>
  </cols>
  <sheetData>
    <row r="1" spans="1:19" ht="21" x14ac:dyDescent="0.5">
      <c r="A1" s="1" t="s">
        <v>4</v>
      </c>
    </row>
    <row r="2" spans="1:19" x14ac:dyDescent="0.35">
      <c r="B2" t="s">
        <v>5</v>
      </c>
    </row>
    <row r="4" spans="1:19" x14ac:dyDescent="0.35">
      <c r="C4" s="30"/>
      <c r="D4" s="30"/>
      <c r="E4" s="30"/>
      <c r="F4" s="30"/>
      <c r="G4" s="30"/>
      <c r="H4" s="30"/>
      <c r="I4" s="30"/>
      <c r="J4" s="30"/>
      <c r="K4" s="30"/>
      <c r="M4" s="31"/>
    </row>
    <row r="5" spans="1:19" x14ac:dyDescent="0.35">
      <c r="B5" t="s">
        <v>23</v>
      </c>
      <c r="D5" s="5">
        <v>0</v>
      </c>
      <c r="E5" s="5">
        <f>D5</f>
        <v>0</v>
      </c>
      <c r="F5" s="5">
        <f t="shared" ref="F5:M5" si="0">E5</f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</row>
    <row r="6" spans="1:19" ht="15" thickBot="1" x14ac:dyDescent="0.4">
      <c r="B6" t="s">
        <v>22</v>
      </c>
      <c r="C6" s="29">
        <v>360000</v>
      </c>
      <c r="D6" s="29">
        <f>C6+(C6*D5)</f>
        <v>360000</v>
      </c>
      <c r="E6" s="29">
        <f t="shared" ref="E6:M6" si="1">D6+(D6*E5)</f>
        <v>360000</v>
      </c>
      <c r="F6" s="29">
        <f t="shared" si="1"/>
        <v>360000</v>
      </c>
      <c r="G6" s="29">
        <f t="shared" si="1"/>
        <v>360000</v>
      </c>
      <c r="H6" s="29">
        <f t="shared" si="1"/>
        <v>360000</v>
      </c>
      <c r="I6" s="29">
        <f t="shared" si="1"/>
        <v>360000</v>
      </c>
      <c r="J6" s="29">
        <f t="shared" si="1"/>
        <v>360000</v>
      </c>
      <c r="K6" s="29">
        <f t="shared" si="1"/>
        <v>360000</v>
      </c>
      <c r="L6" s="29">
        <f t="shared" si="1"/>
        <v>360000</v>
      </c>
      <c r="M6" s="29">
        <f t="shared" si="1"/>
        <v>360000</v>
      </c>
    </row>
    <row r="7" spans="1:19" x14ac:dyDescent="0.35">
      <c r="B7" s="6"/>
      <c r="C7" s="7">
        <v>2022</v>
      </c>
      <c r="D7" s="8">
        <v>2023</v>
      </c>
      <c r="E7" s="8">
        <v>2024</v>
      </c>
      <c r="F7" s="8">
        <v>2025</v>
      </c>
      <c r="G7" s="8">
        <v>2026</v>
      </c>
      <c r="H7" s="8">
        <v>2027</v>
      </c>
      <c r="I7" s="8">
        <v>2028</v>
      </c>
      <c r="J7" s="8">
        <v>2029</v>
      </c>
      <c r="K7" s="8">
        <v>2030</v>
      </c>
      <c r="L7" s="8">
        <v>2031</v>
      </c>
      <c r="M7" s="9">
        <v>2032</v>
      </c>
    </row>
    <row r="8" spans="1:19" ht="7.5" customHeight="1" x14ac:dyDescent="0.35"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9" x14ac:dyDescent="0.35">
      <c r="A9" s="5">
        <v>0.85</v>
      </c>
      <c r="B9" s="10" t="s">
        <v>24</v>
      </c>
      <c r="C9" s="22">
        <f>172.35*A9</f>
        <v>146.4975</v>
      </c>
      <c r="D9" s="22">
        <f t="shared" ref="D9:M9" si="2">C14</f>
        <v>154.6575</v>
      </c>
      <c r="E9" s="22">
        <f t="shared" si="2"/>
        <v>165.19750000000002</v>
      </c>
      <c r="F9" s="22">
        <f t="shared" si="2"/>
        <v>175.39750000000001</v>
      </c>
      <c r="G9" s="22">
        <f t="shared" si="2"/>
        <v>185.25749999999999</v>
      </c>
      <c r="H9" s="22">
        <f t="shared" si="2"/>
        <v>195.45749999999998</v>
      </c>
      <c r="I9" s="23">
        <f t="shared" si="2"/>
        <v>208.20749999999998</v>
      </c>
      <c r="J9" s="23">
        <f t="shared" si="2"/>
        <v>214.15749999999997</v>
      </c>
      <c r="K9" s="23">
        <f t="shared" si="2"/>
        <v>226.05749999999998</v>
      </c>
      <c r="L9" s="23">
        <f t="shared" si="2"/>
        <v>234.55749999999998</v>
      </c>
      <c r="M9" s="24">
        <f t="shared" si="2"/>
        <v>245.60749999999996</v>
      </c>
      <c r="P9" t="s">
        <v>21</v>
      </c>
    </row>
    <row r="10" spans="1:19" x14ac:dyDescent="0.35">
      <c r="A10" s="5">
        <v>0.85</v>
      </c>
      <c r="B10" s="10" t="s">
        <v>1</v>
      </c>
      <c r="C10" s="25">
        <f>4*A10</f>
        <v>3.4</v>
      </c>
      <c r="D10" s="25">
        <f>6*A10</f>
        <v>5.0999999999999996</v>
      </c>
      <c r="E10" s="25">
        <f>8*A10</f>
        <v>6.8</v>
      </c>
      <c r="F10" s="25">
        <f>6*A10</f>
        <v>5.0999999999999996</v>
      </c>
      <c r="G10" s="25">
        <f>4*A10</f>
        <v>3.4</v>
      </c>
      <c r="H10" s="25">
        <f>1*A10</f>
        <v>0.85</v>
      </c>
      <c r="I10" s="25">
        <f>9*A10</f>
        <v>7.6499999999999995</v>
      </c>
      <c r="J10" s="25">
        <f>2*A10</f>
        <v>1.7</v>
      </c>
      <c r="K10" s="25">
        <f>6*A10</f>
        <v>5.0999999999999996</v>
      </c>
      <c r="L10" s="26">
        <f>3*0.85</f>
        <v>2.5499999999999998</v>
      </c>
      <c r="M10" s="27">
        <f>3*0.85</f>
        <v>2.5499999999999998</v>
      </c>
      <c r="P10">
        <v>2019</v>
      </c>
      <c r="Q10">
        <v>2020</v>
      </c>
      <c r="R10">
        <v>2021</v>
      </c>
      <c r="S10">
        <v>2022</v>
      </c>
    </row>
    <row r="11" spans="1:19" x14ac:dyDescent="0.35">
      <c r="A11" s="5">
        <v>0.85</v>
      </c>
      <c r="B11" s="10" t="s">
        <v>0</v>
      </c>
      <c r="C11" s="25">
        <f>17*A11</f>
        <v>14.45</v>
      </c>
      <c r="D11" s="25">
        <f>23*A11</f>
        <v>19.55</v>
      </c>
      <c r="E11" s="25">
        <f>25*A11</f>
        <v>21.25</v>
      </c>
      <c r="F11" s="25">
        <f>22*A11</f>
        <v>18.7</v>
      </c>
      <c r="G11" s="25">
        <f>20*A11</f>
        <v>17</v>
      </c>
      <c r="H11" s="25">
        <f>20*A11</f>
        <v>17</v>
      </c>
      <c r="I11" s="25">
        <f>20*A11</f>
        <v>17</v>
      </c>
      <c r="J11" s="25">
        <f>20*A11</f>
        <v>17</v>
      </c>
      <c r="K11" s="25">
        <f>20*A11</f>
        <v>17</v>
      </c>
      <c r="L11" s="26">
        <f>20*0.85</f>
        <v>17</v>
      </c>
      <c r="M11" s="27">
        <f>L11</f>
        <v>17</v>
      </c>
      <c r="P11">
        <v>360426</v>
      </c>
      <c r="Q11">
        <v>359524</v>
      </c>
      <c r="R11">
        <v>360167</v>
      </c>
      <c r="S11">
        <v>359805</v>
      </c>
    </row>
    <row r="12" spans="1:19" x14ac:dyDescent="0.35">
      <c r="B12" s="14" t="s">
        <v>2</v>
      </c>
      <c r="C12" s="25">
        <f>C11*0.2</f>
        <v>2.89</v>
      </c>
      <c r="D12" s="25">
        <f t="shared" ref="D12:M12" si="3">D11*0.2</f>
        <v>3.91</v>
      </c>
      <c r="E12" s="25">
        <f t="shared" si="3"/>
        <v>4.25</v>
      </c>
      <c r="F12" s="25">
        <f t="shared" si="3"/>
        <v>3.74</v>
      </c>
      <c r="G12" s="25">
        <f t="shared" si="3"/>
        <v>3.4000000000000004</v>
      </c>
      <c r="H12" s="25">
        <f t="shared" si="3"/>
        <v>3.4000000000000004</v>
      </c>
      <c r="I12" s="25">
        <f t="shared" si="3"/>
        <v>3.4000000000000004</v>
      </c>
      <c r="J12" s="25">
        <f t="shared" si="3"/>
        <v>3.4000000000000004</v>
      </c>
      <c r="K12" s="25">
        <f t="shared" si="3"/>
        <v>3.4000000000000004</v>
      </c>
      <c r="L12" s="26">
        <f t="shared" si="3"/>
        <v>3.4000000000000004</v>
      </c>
      <c r="M12" s="27">
        <f t="shared" si="3"/>
        <v>3.4000000000000004</v>
      </c>
    </row>
    <row r="13" spans="1:19" x14ac:dyDescent="0.35">
      <c r="B13" s="10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9" ht="15" thickBot="1" x14ac:dyDescent="0.4">
      <c r="B14" s="10" t="s">
        <v>3</v>
      </c>
      <c r="C14" s="23">
        <f>C9-C10+C11-C12</f>
        <v>154.6575</v>
      </c>
      <c r="D14" s="23">
        <f t="shared" ref="D14:L14" si="4">D9-D10+D11-D12</f>
        <v>165.19750000000002</v>
      </c>
      <c r="E14" s="23">
        <f t="shared" si="4"/>
        <v>175.39750000000001</v>
      </c>
      <c r="F14" s="23">
        <f t="shared" si="4"/>
        <v>185.25749999999999</v>
      </c>
      <c r="G14" s="23">
        <f t="shared" si="4"/>
        <v>195.45749999999998</v>
      </c>
      <c r="H14" s="23">
        <f t="shared" si="4"/>
        <v>208.20749999999998</v>
      </c>
      <c r="I14" s="23">
        <f t="shared" si="4"/>
        <v>214.15749999999997</v>
      </c>
      <c r="J14" s="23">
        <f t="shared" si="4"/>
        <v>226.05749999999998</v>
      </c>
      <c r="K14" s="23">
        <f t="shared" si="4"/>
        <v>234.55749999999998</v>
      </c>
      <c r="L14" s="23">
        <f t="shared" si="4"/>
        <v>245.60749999999996</v>
      </c>
      <c r="M14" s="24">
        <f>M9-M10+M11-M12</f>
        <v>256.65749999999997</v>
      </c>
    </row>
    <row r="15" spans="1:19" ht="15" thickBot="1" x14ac:dyDescent="0.4">
      <c r="B15" s="32" t="s">
        <v>6</v>
      </c>
      <c r="C15" s="28">
        <f>C6/C14</f>
        <v>2327.7241646864845</v>
      </c>
      <c r="D15" s="28">
        <f t="shared" ref="D15:M15" si="5">D6/D14</f>
        <v>2179.2097338034773</v>
      </c>
      <c r="E15" s="28">
        <f t="shared" si="5"/>
        <v>2052.4807936259067</v>
      </c>
      <c r="F15" s="28">
        <f t="shared" si="5"/>
        <v>1943.2411643253311</v>
      </c>
      <c r="G15" s="28">
        <f t="shared" si="5"/>
        <v>1841.8326234603433</v>
      </c>
      <c r="H15" s="28">
        <f t="shared" si="5"/>
        <v>1729.0443427830412</v>
      </c>
      <c r="I15" s="28">
        <f t="shared" si="5"/>
        <v>1681.0058018047469</v>
      </c>
      <c r="J15" s="28">
        <f t="shared" si="5"/>
        <v>1592.5151786602967</v>
      </c>
      <c r="K15" s="28">
        <f t="shared" si="5"/>
        <v>1534.8048985856349</v>
      </c>
      <c r="L15" s="28">
        <f t="shared" si="5"/>
        <v>1465.7532852213392</v>
      </c>
      <c r="M15" s="28">
        <f t="shared" si="5"/>
        <v>1402.6474971508724</v>
      </c>
    </row>
    <row r="16" spans="1:19" x14ac:dyDescent="0.35"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23" ht="15" thickBot="1" x14ac:dyDescent="0.4">
      <c r="B17" s="10" t="s">
        <v>17</v>
      </c>
      <c r="C17" s="15">
        <v>100</v>
      </c>
      <c r="D17" s="15">
        <v>100</v>
      </c>
      <c r="E17" s="15">
        <v>90</v>
      </c>
      <c r="F17" s="15">
        <v>80</v>
      </c>
      <c r="G17" s="15">
        <v>70</v>
      </c>
      <c r="H17" s="15">
        <v>50</v>
      </c>
      <c r="I17" s="15">
        <v>40</v>
      </c>
      <c r="J17" s="15">
        <v>30</v>
      </c>
      <c r="K17" s="15">
        <v>20</v>
      </c>
      <c r="L17" s="15">
        <v>0</v>
      </c>
      <c r="M17" s="16">
        <v>0</v>
      </c>
    </row>
    <row r="18" spans="1:23" ht="15" thickBot="1" x14ac:dyDescent="0.4">
      <c r="B18" s="32" t="s">
        <v>16</v>
      </c>
      <c r="C18" s="4">
        <f>C6/(C14+C17)</f>
        <v>1413.6634499278443</v>
      </c>
      <c r="D18" s="4">
        <f t="shared" ref="D18:M18" si="6">D6/(D14+D17)</f>
        <v>1357.478860094835</v>
      </c>
      <c r="E18" s="4">
        <f t="shared" si="6"/>
        <v>1356.455882214414</v>
      </c>
      <c r="F18" s="4">
        <f t="shared" si="6"/>
        <v>1357.1718047557563</v>
      </c>
      <c r="G18" s="4">
        <f t="shared" si="6"/>
        <v>1356.1492894342787</v>
      </c>
      <c r="H18" s="4">
        <f t="shared" si="6"/>
        <v>1394.2275108197864</v>
      </c>
      <c r="I18" s="4">
        <f t="shared" si="6"/>
        <v>1416.4445275075495</v>
      </c>
      <c r="J18" s="4">
        <f t="shared" si="6"/>
        <v>1405.9342139949035</v>
      </c>
      <c r="K18" s="4">
        <f t="shared" si="6"/>
        <v>1414.2187914321912</v>
      </c>
      <c r="L18" s="4">
        <f t="shared" si="6"/>
        <v>1465.7532852213392</v>
      </c>
      <c r="M18" s="4">
        <f t="shared" si="6"/>
        <v>1402.6474971508724</v>
      </c>
    </row>
    <row r="19" spans="1:23" ht="45" customHeight="1" thickBot="1" x14ac:dyDescent="0.4">
      <c r="B19" s="17" t="s">
        <v>19</v>
      </c>
      <c r="C19" s="18"/>
      <c r="D19" s="18"/>
      <c r="E19" s="18"/>
      <c r="F19" s="19" t="s">
        <v>18</v>
      </c>
      <c r="G19" s="20"/>
      <c r="H19" s="19" t="s">
        <v>20</v>
      </c>
      <c r="I19" s="18"/>
      <c r="J19" s="18"/>
      <c r="K19" s="18"/>
      <c r="L19" s="18"/>
      <c r="M19" s="21"/>
    </row>
    <row r="20" spans="1:23" x14ac:dyDescent="0.35">
      <c r="B20" s="3"/>
      <c r="D20" s="31">
        <f>D14-C14</f>
        <v>10.54000000000002</v>
      </c>
      <c r="E20" s="31">
        <f t="shared" ref="E20:M20" si="7">E14-D14</f>
        <v>10.199999999999989</v>
      </c>
      <c r="F20" s="31">
        <f t="shared" si="7"/>
        <v>9.8599999999999852</v>
      </c>
      <c r="G20" s="31">
        <f t="shared" si="7"/>
        <v>10.199999999999989</v>
      </c>
      <c r="H20" s="31">
        <f t="shared" si="7"/>
        <v>12.75</v>
      </c>
      <c r="I20" s="31">
        <f t="shared" si="7"/>
        <v>5.9499999999999886</v>
      </c>
      <c r="J20" s="31">
        <f t="shared" si="7"/>
        <v>11.900000000000006</v>
      </c>
      <c r="K20" s="31">
        <f t="shared" si="7"/>
        <v>8.5</v>
      </c>
      <c r="L20" s="31">
        <f t="shared" si="7"/>
        <v>11.049999999999983</v>
      </c>
      <c r="M20" s="31">
        <f t="shared" si="7"/>
        <v>11.050000000000011</v>
      </c>
      <c r="Q20" t="s">
        <v>31</v>
      </c>
      <c r="R20" s="31">
        <v>157</v>
      </c>
      <c r="S20" s="31">
        <f>R20*A22</f>
        <v>235500</v>
      </c>
      <c r="U20" s="31">
        <v>242</v>
      </c>
      <c r="V20" s="31">
        <f>U20*1600</f>
        <v>387200</v>
      </c>
    </row>
    <row r="21" spans="1:23" x14ac:dyDescent="0.35">
      <c r="B21" s="3" t="s">
        <v>25</v>
      </c>
      <c r="C21" s="31">
        <f>C11-C12</f>
        <v>11.559999999999999</v>
      </c>
      <c r="D21" s="31">
        <f t="shared" ref="D21:M21" si="8">D11-D12</f>
        <v>15.64</v>
      </c>
      <c r="E21" s="31">
        <f t="shared" si="8"/>
        <v>17</v>
      </c>
      <c r="F21" s="31">
        <f t="shared" si="8"/>
        <v>14.959999999999999</v>
      </c>
      <c r="G21" s="31">
        <f t="shared" si="8"/>
        <v>13.6</v>
      </c>
      <c r="H21" s="31">
        <f t="shared" si="8"/>
        <v>13.6</v>
      </c>
      <c r="I21" s="31">
        <f t="shared" si="8"/>
        <v>13.6</v>
      </c>
      <c r="J21" s="31">
        <f t="shared" si="8"/>
        <v>13.6</v>
      </c>
      <c r="K21" s="31">
        <f t="shared" si="8"/>
        <v>13.6</v>
      </c>
      <c r="L21" s="31">
        <f t="shared" si="8"/>
        <v>13.6</v>
      </c>
      <c r="M21" s="31">
        <f t="shared" si="8"/>
        <v>13.6</v>
      </c>
      <c r="Q21" t="s">
        <v>32</v>
      </c>
      <c r="R21" s="31">
        <v>85</v>
      </c>
      <c r="S21" s="26">
        <f>950*R21</f>
        <v>80750</v>
      </c>
      <c r="U21" s="31">
        <v>170</v>
      </c>
      <c r="V21" s="31">
        <f>U21*950</f>
        <v>161500</v>
      </c>
    </row>
    <row r="22" spans="1:23" x14ac:dyDescent="0.35">
      <c r="A22">
        <v>1500</v>
      </c>
      <c r="B22" s="3" t="s">
        <v>26</v>
      </c>
      <c r="C22" s="31">
        <f>C21*A22</f>
        <v>17339.999999999996</v>
      </c>
      <c r="D22" s="31">
        <f>$A$22*D21</f>
        <v>23460</v>
      </c>
      <c r="E22" s="31">
        <f t="shared" ref="E22:M22" si="9">$A$22*E21</f>
        <v>25500</v>
      </c>
      <c r="F22" s="31">
        <f t="shared" si="9"/>
        <v>22440</v>
      </c>
      <c r="G22" s="31">
        <f t="shared" si="9"/>
        <v>20400</v>
      </c>
      <c r="H22" s="31">
        <f t="shared" si="9"/>
        <v>20400</v>
      </c>
      <c r="I22" s="31">
        <f t="shared" si="9"/>
        <v>20400</v>
      </c>
      <c r="J22" s="31">
        <f t="shared" si="9"/>
        <v>20400</v>
      </c>
      <c r="K22" s="31">
        <f t="shared" si="9"/>
        <v>20400</v>
      </c>
      <c r="L22" s="31">
        <f t="shared" si="9"/>
        <v>20400</v>
      </c>
      <c r="M22" s="31">
        <f t="shared" si="9"/>
        <v>20400</v>
      </c>
      <c r="Q22" t="s">
        <v>10</v>
      </c>
      <c r="R22" s="31">
        <v>62</v>
      </c>
      <c r="S22" s="31">
        <f>R22*680</f>
        <v>42160</v>
      </c>
      <c r="T22" s="31"/>
      <c r="U22" s="31"/>
      <c r="V22" s="31">
        <f>-S22</f>
        <v>-42160</v>
      </c>
    </row>
    <row r="23" spans="1:23" x14ac:dyDescent="0.35">
      <c r="Q23" t="s">
        <v>33</v>
      </c>
      <c r="R23" s="31">
        <v>18</v>
      </c>
      <c r="S23" s="31">
        <f>R23*A26</f>
        <v>45000</v>
      </c>
      <c r="T23" s="31"/>
      <c r="U23" s="31"/>
      <c r="V23" s="31">
        <f>-S23</f>
        <v>-45000</v>
      </c>
    </row>
    <row r="24" spans="1:23" x14ac:dyDescent="0.35">
      <c r="A24">
        <v>1700</v>
      </c>
      <c r="B24" s="3" t="s">
        <v>29</v>
      </c>
      <c r="C24" s="31">
        <f>-C10*$A$24</f>
        <v>-5780</v>
      </c>
      <c r="D24" s="31">
        <f t="shared" ref="D24:M24" si="10">-D10*$A$24</f>
        <v>-8670</v>
      </c>
      <c r="E24" s="31">
        <f t="shared" si="10"/>
        <v>-11560</v>
      </c>
      <c r="F24" s="31">
        <f t="shared" si="10"/>
        <v>-8670</v>
      </c>
      <c r="G24" s="31">
        <f t="shared" si="10"/>
        <v>-5780</v>
      </c>
      <c r="H24" s="31">
        <f t="shared" si="10"/>
        <v>-1445</v>
      </c>
      <c r="I24" s="31">
        <f t="shared" si="10"/>
        <v>-13005</v>
      </c>
      <c r="J24" s="31">
        <f t="shared" si="10"/>
        <v>-2890</v>
      </c>
      <c r="K24" s="31">
        <f t="shared" si="10"/>
        <v>-8670</v>
      </c>
      <c r="L24" s="31">
        <f t="shared" si="10"/>
        <v>-4335</v>
      </c>
      <c r="M24" s="31">
        <f t="shared" si="10"/>
        <v>-4335</v>
      </c>
      <c r="R24" s="31"/>
      <c r="S24" s="31">
        <f>SUM(S20:S23)</f>
        <v>403410</v>
      </c>
      <c r="T24" s="31"/>
      <c r="U24" s="31"/>
      <c r="V24" s="31">
        <f>SUM(V20:V23)</f>
        <v>461540</v>
      </c>
      <c r="W24" s="31">
        <f>V24-S24</f>
        <v>58130</v>
      </c>
    </row>
    <row r="25" spans="1:23" x14ac:dyDescent="0.35">
      <c r="B25" s="3"/>
    </row>
    <row r="26" spans="1:23" x14ac:dyDescent="0.35">
      <c r="A26">
        <v>2500</v>
      </c>
      <c r="B26" s="3" t="s">
        <v>27</v>
      </c>
      <c r="C26" s="31"/>
      <c r="E26" s="31">
        <f>-10*A26</f>
        <v>-25000</v>
      </c>
      <c r="F26" s="31">
        <f>-7*A26</f>
        <v>-17500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23" x14ac:dyDescent="0.35">
      <c r="A27">
        <v>700</v>
      </c>
      <c r="B27" s="3" t="s">
        <v>28</v>
      </c>
      <c r="C27" s="31"/>
      <c r="D27" s="31"/>
      <c r="E27" s="31"/>
      <c r="F27" s="31">
        <f>-3*A27</f>
        <v>-2100</v>
      </c>
      <c r="G27" s="31">
        <f>(G17-F17)*$A$27</f>
        <v>-7000</v>
      </c>
      <c r="H27" s="31">
        <f t="shared" ref="H27:M27" si="11">(H17-G17)*$A$27</f>
        <v>-14000</v>
      </c>
      <c r="I27" s="31">
        <f t="shared" si="11"/>
        <v>-7000</v>
      </c>
      <c r="J27" s="31">
        <f t="shared" si="11"/>
        <v>-7000</v>
      </c>
      <c r="K27" s="31">
        <f t="shared" si="11"/>
        <v>-7000</v>
      </c>
      <c r="L27" s="31">
        <f t="shared" si="11"/>
        <v>-14000</v>
      </c>
      <c r="M27" s="31">
        <f t="shared" si="11"/>
        <v>0</v>
      </c>
    </row>
    <row r="28" spans="1:23" x14ac:dyDescent="0.35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23" x14ac:dyDescent="0.35">
      <c r="B29" s="33" t="s">
        <v>30</v>
      </c>
      <c r="C29" s="2">
        <f>SUM(C22:C28)</f>
        <v>11559.999999999996</v>
      </c>
      <c r="D29" s="2">
        <f t="shared" ref="D29:M29" si="12">SUM(D22:D28)</f>
        <v>14790</v>
      </c>
      <c r="E29" s="2">
        <f t="shared" si="12"/>
        <v>-11060</v>
      </c>
      <c r="F29" s="2">
        <f t="shared" si="12"/>
        <v>-5830</v>
      </c>
      <c r="G29" s="2">
        <f t="shared" si="12"/>
        <v>7620</v>
      </c>
      <c r="H29" s="2">
        <f t="shared" si="12"/>
        <v>4955</v>
      </c>
      <c r="I29" s="2">
        <f t="shared" si="12"/>
        <v>395</v>
      </c>
      <c r="J29" s="2">
        <f t="shared" si="12"/>
        <v>10510</v>
      </c>
      <c r="K29" s="2">
        <f t="shared" si="12"/>
        <v>4730</v>
      </c>
      <c r="L29" s="2">
        <f t="shared" si="12"/>
        <v>2065</v>
      </c>
      <c r="M29" s="2">
        <f t="shared" si="12"/>
        <v>16065</v>
      </c>
      <c r="N29" s="2">
        <f>SUM(C29:M29)</f>
        <v>55800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5"/>
  <sheetViews>
    <sheetView workbookViewId="0">
      <selection activeCell="E16" sqref="E16"/>
    </sheetView>
  </sheetViews>
  <sheetFormatPr defaultRowHeight="14.5" x14ac:dyDescent="0.35"/>
  <cols>
    <col min="2" max="2" width="19.1796875" customWidth="1"/>
    <col min="9" max="9" width="15.1796875" bestFit="1" customWidth="1"/>
  </cols>
  <sheetData>
    <row r="3" spans="1:9" x14ac:dyDescent="0.3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</row>
    <row r="4" spans="1:9" x14ac:dyDescent="0.35">
      <c r="A4">
        <v>359849</v>
      </c>
      <c r="B4">
        <v>174.14999999999998</v>
      </c>
      <c r="C4">
        <v>103.25</v>
      </c>
      <c r="D4">
        <v>69.566666666666663</v>
      </c>
      <c r="E4">
        <v>1.9014000000000002</v>
      </c>
      <c r="F4">
        <v>2.7011666666666669</v>
      </c>
      <c r="G4">
        <v>-2.5</v>
      </c>
      <c r="H4">
        <v>-4.6000000000000014</v>
      </c>
      <c r="I4">
        <v>17</v>
      </c>
    </row>
    <row r="5" spans="1:9" x14ac:dyDescent="0.35">
      <c r="C5">
        <f>C4*0.5</f>
        <v>51.625</v>
      </c>
      <c r="D5">
        <f>D4*0.5</f>
        <v>34.783333333333331</v>
      </c>
      <c r="E5">
        <v>1.9014000000000002</v>
      </c>
      <c r="F5">
        <v>2.7011666666666669</v>
      </c>
      <c r="G5">
        <v>-2.5</v>
      </c>
      <c r="H5">
        <v>-4.6000000000000014</v>
      </c>
      <c r="I5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Beslutad ramhöjning</vt:lpstr>
      <vt:lpstr>Handlingsplan</vt:lpstr>
      <vt:lpstr>Blad1</vt:lpstr>
      <vt:lpstr>Blad2</vt:lpstr>
    </vt:vector>
  </TitlesOfParts>
  <Company>Region Östergötland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Strömberg Johanna</dc:creator>
  <cp:lastModifiedBy>angelica staff</cp:lastModifiedBy>
  <dcterms:created xsi:type="dcterms:W3CDTF">2018-10-10T08:25:30Z</dcterms:created>
  <dcterms:modified xsi:type="dcterms:W3CDTF">2023-05-13T12:56:05Z</dcterms:modified>
</cp:coreProperties>
</file>