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7b72b9869922a3/Ulfs dokument/SFMR/Imago Medica/Barn och jodkontrastmedel/"/>
    </mc:Choice>
  </mc:AlternateContent>
  <xr:revisionPtr revIDLastSave="19" documentId="8_{C58E09E3-7A61-43AB-93F2-E7AC136BB727}" xr6:coauthVersionLast="45" xr6:coauthVersionMax="45" xr10:uidLastSave="{20EF7F94-3D7D-4811-96FC-846BC89A89C5}"/>
  <bookViews>
    <workbookView xWindow="-108" yWindow="-108" windowWidth="23256" windowHeight="12576" xr2:uid="{086D1C67-8ADC-4D06-AE0B-3B00161C3EE6}"/>
  </bookViews>
  <sheets>
    <sheet name="eGFR &amp; dosering övervik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22" i="1" l="1"/>
  <c r="B21" i="1"/>
  <c r="B17" i="1"/>
  <c r="B16" i="1"/>
  <c r="B14" i="1"/>
  <c r="B12" i="1"/>
  <c r="B10" i="1"/>
  <c r="D17" i="1" l="1"/>
  <c r="B13" i="1"/>
  <c r="C21" i="1" s="1"/>
  <c r="D21" i="1" s="1"/>
  <c r="B18" i="1"/>
  <c r="D16" i="1"/>
  <c r="C22" i="1" l="1"/>
  <c r="C20" i="1"/>
  <c r="D24" i="1" s="1"/>
  <c r="E24" i="1" s="1"/>
  <c r="D18" i="1"/>
  <c r="D22" i="1" l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Nyman</author>
    <author>ulfny</author>
  </authors>
  <commentList>
    <comment ref="A14" authorId="0" shapeId="0" xr:uid="{6C9B2493-5412-4DA7-94D8-02B4DF9C2159}">
      <text>
        <r>
          <rPr>
            <sz val="8"/>
            <color indexed="81"/>
            <rFont val="Tahoma"/>
            <family val="2"/>
          </rPr>
          <t>DuBois D, DuBois EF. A formula to estimate the approximate surface area if height and weight be known. Arch Intern Med 1916;17:863-871.
0,007184*[vikt (kg)^0,425]*[längd (cm)^0,725]</t>
        </r>
      </text>
    </comment>
    <comment ref="A16" authorId="0" shapeId="0" xr:uid="{EC40D4E6-DE1F-41F7-84D0-5F4AB574B482}">
      <text>
        <r>
          <rPr>
            <sz val="8"/>
            <color indexed="81"/>
            <rFont val="Arial"/>
            <family val="2"/>
          </rPr>
          <t xml:space="preserve">Skattat GFR mL/min/1,73 m^2
Flickor 2-17 år och pojkar &lt;13 år
32.5 × längd (cm)/p-kreatinin
Pojkar &gt;=13 år 
36.5 × längd (cm)/p-kreatinin  
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A17" authorId="1" shapeId="0" xr:uid="{39637B95-B200-4FDE-B898-B2D9FB526A20}">
      <text>
        <r>
          <rPr>
            <b/>
            <sz val="9"/>
            <color indexed="81"/>
            <rFont val="Tahoma"/>
            <family val="2"/>
          </rPr>
          <t>ulfny:</t>
        </r>
        <r>
          <rPr>
            <sz val="9"/>
            <color indexed="81"/>
            <rFont val="Tahoma"/>
            <family val="2"/>
          </rPr>
          <t xml:space="preserve">
pCys ≤ 0.8 mg/L: 133 × (pCys / 0.8)(upphöjt -0.499) × 0.996(upphöjd ålder) × 0.932 (om flicka)
pCys &gt; 0.8 mg/L: 133 × (pCys / 0.8)(upphöj -1.328) × 0.996(upphöjt ålder) × 0.932 (om flicka)</t>
        </r>
      </text>
    </comment>
  </commentList>
</comments>
</file>

<file path=xl/sharedStrings.xml><?xml version="1.0" encoding="utf-8"?>
<sst xmlns="http://schemas.openxmlformats.org/spreadsheetml/2006/main" count="47" uniqueCount="43">
  <si>
    <t>Skattning av GFR, BMI, kroppsyta, doseringsvikt vid övervikt samt dosering av jodkontrastmedel för barn 2-17 år</t>
  </si>
  <si>
    <t>Kön (1=kvinna, 0=man)</t>
  </si>
  <si>
    <t>Ålder</t>
  </si>
  <si>
    <t>år</t>
  </si>
  <si>
    <t>Plasmakreatinin</t>
  </si>
  <si>
    <t>µmol/L</t>
  </si>
  <si>
    <t>Plasmacystatin</t>
  </si>
  <si>
    <t>mg/L</t>
  </si>
  <si>
    <t xml:space="preserve">Vikt </t>
  </si>
  <si>
    <t>kg</t>
  </si>
  <si>
    <t>Längd</t>
  </si>
  <si>
    <t>cm</t>
  </si>
  <si>
    <t>Body mass index</t>
  </si>
  <si>
    <r>
      <t>kg/m</t>
    </r>
    <r>
      <rPr>
        <vertAlign val="superscript"/>
        <sz val="10"/>
        <color indexed="8"/>
        <rFont val="Arial"/>
        <family val="2"/>
      </rPr>
      <t>2</t>
    </r>
  </si>
  <si>
    <r>
      <t xml:space="preserve">IsoBMI-25 = övervikt om BMI </t>
    </r>
    <r>
      <rPr>
        <b/>
        <sz val="12"/>
        <color rgb="FF000000"/>
        <rFont val="Calibri"/>
        <family val="2"/>
      </rPr>
      <t>≥</t>
    </r>
  </si>
  <si>
    <r>
      <t>kg/m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</si>
  <si>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Vikt isoBMI-25</t>
  </si>
  <si>
    <t xml:space="preserve">Doseringsvikt </t>
  </si>
  <si>
    <t>Kroppsyta enligt Dubois</t>
  </si>
  <si>
    <r>
      <t>m</t>
    </r>
    <r>
      <rPr>
        <vertAlign val="superscript"/>
        <sz val="10"/>
        <rFont val="Arial"/>
        <family val="2"/>
      </rPr>
      <t>2</t>
    </r>
  </si>
  <si>
    <t>Skattat GFR</t>
  </si>
  <si>
    <r>
      <t>Relativt GFR
(mL/min/1,73 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</si>
  <si>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Absolut GFR
(mL/min)</t>
  </si>
  <si>
    <r>
      <t>Schwartz-Lyon</t>
    </r>
    <r>
      <rPr>
        <b/>
        <vertAlign val="subscript"/>
        <sz val="10"/>
        <rFont val="Arial"/>
        <family val="2"/>
      </rPr>
      <t>kreatinin</t>
    </r>
  </si>
  <si>
    <r>
      <t>CKD-EPI</t>
    </r>
    <r>
      <rPr>
        <b/>
        <vertAlign val="subscript"/>
        <sz val="10"/>
        <rFont val="Arial"/>
        <family val="2"/>
      </rPr>
      <t>cystatin C</t>
    </r>
  </si>
  <si>
    <t>Medelvärde</t>
  </si>
  <si>
    <t>Kontrastmedel</t>
  </si>
  <si>
    <t>Dos
(mg jod/kg)</t>
  </si>
  <si>
    <t>Dos
(gram jod)</t>
  </si>
  <si>
    <t>Gram jod/
absolut GFR ratio</t>
  </si>
  <si>
    <r>
      <t>Schwartz-Lyon</t>
    </r>
    <r>
      <rPr>
        <b/>
        <vertAlign val="subscript"/>
        <sz val="10"/>
        <rFont val="Arial"/>
        <family val="2"/>
      </rPr>
      <t xml:space="preserve">kreatinin </t>
    </r>
  </si>
  <si>
    <t>Medel</t>
  </si>
  <si>
    <t>Koncentration (mg I/mL)</t>
  </si>
  <si>
    <t>Injektionstid
(sek)</t>
  </si>
  <si>
    <t>Volym (mL)</t>
  </si>
  <si>
    <t>Hastighet
(mL/s)</t>
  </si>
  <si>
    <t>Injektionsparametrar</t>
  </si>
  <si>
    <t>Gelander L. Tillväxtavvikelser, storvuxna barn. Internetmedicin
Fetma för barn baserat på isoBMI-25 = BMI +1,2SD, se tabeller www.isobmi.se</t>
  </si>
  <si>
    <t>Cole TJ, Lobstein T. Extended international (IOTF) body mass index cut-offs for thinness, overweight and obesity. Pediatric obesity. 2012;7:284-94.</t>
  </si>
  <si>
    <t xml:space="preserve">de Souza et al. Schwartz forumula: Is one k-coefficient adequate for all children. PLoS One 2012; 7:e53439.                                                                                                                                                         </t>
  </si>
  <si>
    <t>Inker LA, Schmid CH, Tighiouart H, et al. Estimating glomerular filtration rate from serum creatinine and cystatin C. N Engl J Med 2012; 367:20-29.</t>
  </si>
  <si>
    <t>Björk, Nyman et al. Validation of standardized creatinine and cystatin C GFR estimating equations in a large multicentre European cohort of children. Ped Nephrol 2019;34:1087-1098.</t>
  </si>
  <si>
    <t>Programmet utarbetat av Ulf Nyman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</si>
</sst>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0"/>
      <name val="Geneva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1999999999999993"/>
      <name val="Arial"/>
      <family val="2"/>
    </font>
    <font>
      <b/>
      <i/>
      <sz val="12"/>
      <color indexed="1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000000"/>
      <name val="Calibri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vertAlign val="subscript"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Geneva"/>
    </font>
    <font>
      <b/>
      <i/>
      <sz val="8"/>
      <color indexed="9"/>
      <name val="Geneva"/>
    </font>
    <font>
      <sz val="12"/>
      <name val="Geneva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" fontId="2" fillId="5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2" fontId="2" fillId="5" borderId="11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left" vertical="center" wrapText="1"/>
    </xf>
    <xf numFmtId="1" fontId="19" fillId="6" borderId="11" xfId="0" applyNumberFormat="1" applyFont="1" applyFill="1" applyBorder="1" applyAlignment="1">
      <alignment horizontal="center" vertical="center" wrapText="1"/>
    </xf>
    <xf numFmtId="1" fontId="1" fillId="0" borderId="11" xfId="1" applyNumberFormat="1" applyFont="1" applyBorder="1" applyAlignment="1" applyProtection="1">
      <alignment horizontal="center" vertical="center"/>
      <protection locked="0"/>
    </xf>
    <xf numFmtId="1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1" xfId="1" applyNumberFormat="1" applyFont="1" applyFill="1" applyBorder="1" applyAlignment="1">
      <alignment horizontal="center" vertical="center"/>
    </xf>
    <xf numFmtId="1" fontId="19" fillId="6" borderId="5" xfId="1" applyNumberFormat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2" fontId="19" fillId="6" borderId="5" xfId="0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1" fillId="7" borderId="5" xfId="1" applyNumberFormat="1" applyFont="1" applyFill="1" applyBorder="1" applyAlignment="1" applyProtection="1">
      <alignment horizontal="center" vertical="center"/>
      <protection locked="0"/>
    </xf>
    <xf numFmtId="1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4" xfId="0" applyNumberFormat="1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2" fontId="1" fillId="5" borderId="1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" fontId="1" fillId="5" borderId="12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" fontId="1" fillId="5" borderId="18" xfId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1" fillId="5" borderId="1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1" fillId="5" borderId="20" xfId="1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19" fillId="6" borderId="1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1" fillId="3" borderId="23" xfId="0" applyFont="1" applyFill="1" applyBorder="1" applyAlignment="1">
      <alignment horizontal="right" vertical="center"/>
    </xf>
    <xf numFmtId="0" fontId="21" fillId="3" borderId="24" xfId="0" applyFont="1" applyFill="1" applyBorder="1" applyAlignment="1">
      <alignment horizontal="right" vertical="center"/>
    </xf>
    <xf numFmtId="0" fontId="21" fillId="3" borderId="25" xfId="0" applyFont="1" applyFill="1" applyBorder="1" applyAlignment="1">
      <alignment horizontal="right" vertical="center"/>
    </xf>
    <xf numFmtId="2" fontId="1" fillId="5" borderId="20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20" fillId="6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1" fillId="3" borderId="5" xfId="0" applyFont="1" applyFill="1" applyBorder="1" applyAlignment="1">
      <alignment horizontal="left" vertical="top" wrapText="1"/>
    </xf>
    <xf numFmtId="0" fontId="21" fillId="3" borderId="6" xfId="0" applyFont="1" applyFill="1" applyBorder="1" applyAlignment="1">
      <alignment horizontal="left" vertical="top" wrapText="1"/>
    </xf>
  </cellXfs>
  <cellStyles count="2">
    <cellStyle name="Normal" xfId="0" builtinId="0"/>
    <cellStyle name="Normal_creatinine clearance" xfId="1" xr:uid="{179B2717-A3DD-4D73-A867-7ABEDD8E5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oogle.se/imgres?imgurl=https%3A%2F%2Fgfx.omni.se%2Fimages%2Fd475b47b-a010-4742-95ce-edd2c16fccbc%3Fw%3D640&amp;imgrefurl=https%3A%2F%2Fomni.se%2Flakemedelsverket-stanger-av-chef%2Fa%2Fc14e4ec9-b136-4731-ac06-f058e3736a17&amp;docid=i8ZDo5YRoLT_wM&amp;tbnid=_4r3aHLrv3rEcM%3A&amp;vet=10ahUKEwi0_6_AtvbkAhUxxosKHah9DRsQMwhaKBMwEw..i&amp;w=640&amp;h=320&amp;itg=1&amp;bih=719&amp;biw=1536&amp;q=L%C3%A4kemedelsverket%20logga&amp;ved=0ahUKEwi0_6_AtvbkAhUxxosKHah9DRsQMwhaKBMwEw&amp;iact=mrc&amp;uact=8" TargetMode="External"/><Relationship Id="rId1" Type="http://schemas.openxmlformats.org/officeDocument/2006/relationships/hyperlink" Target="https://www.google.se/imgres?imgurl=https%3A%2F%2Fmedia.licdn.com%2Fdms%2Fimage%2FC4E0BAQHepJSrG0KfsQ%2Fcompany-logo_200_200%2F0%3Fe%3D2159024400%26v%3Dbeta%26t%3DAY7RJUKMp9_5tSzt9dQvsr3cSbED3qZ4eEZoVNR5B_k&amp;imgrefurl=https%3A%2F%2Fse.linkedin.com%2Fcompany%2Fmedical-products-agency-l-kemedelsverket&amp;docid=zmYbMqlY7wmSBM&amp;tbnid=eQ4QayDme_EzcM%3A&amp;vet=10ahUKEwi0_6_AtvbkAhUxxosKHah9DRsQMwhGKAIwAg..i&amp;w=200&amp;h=200&amp;bih=719&amp;biw=1536&amp;q=L%C3%A4kemedelsverket%20logga&amp;ved=0ahUKEwi0_6_AtvbkAhUxxosKHah9DRsQMwhGKAIwAg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2" name="eQ4QayDme_EzcM:" descr="Bildresultat för Läkemedelsverket logg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E1E2D-8D4D-4F0C-ADEC-BBAE2B8BA0FD}"/>
            </a:ext>
          </a:extLst>
        </xdr:cNvPr>
        <xdr:cNvSpPr>
          <a:spLocks noChangeAspect="1" noChangeArrowheads="1"/>
        </xdr:cNvSpPr>
      </xdr:nvSpPr>
      <xdr:spPr bwMode="auto">
        <a:xfrm>
          <a:off x="6057900" y="967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9</xdr:row>
      <xdr:rowOff>177800</xdr:rowOff>
    </xdr:to>
    <xdr:sp macro="" textlink="">
      <xdr:nvSpPr>
        <xdr:cNvPr id="3" name="eQ4QayDme_EzcM:" descr="Bildresultat för Läkemedelsverket logg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A2D63-24BA-4550-9CD4-89E33CDCB695}"/>
            </a:ext>
          </a:extLst>
        </xdr:cNvPr>
        <xdr:cNvSpPr>
          <a:spLocks noChangeAspect="1" noChangeArrowheads="1"/>
        </xdr:cNvSpPr>
      </xdr:nvSpPr>
      <xdr:spPr bwMode="auto">
        <a:xfrm>
          <a:off x="6057900" y="1729740"/>
          <a:ext cx="3048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114300</xdr:rowOff>
    </xdr:to>
    <xdr:sp macro="" textlink="">
      <xdr:nvSpPr>
        <xdr:cNvPr id="4" name="_4r3aHLrv3rEcM:" descr="Bildresultat för Läkemedelsverket logg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A8016-E2E0-436F-AE8A-CFDBBF70131C}"/>
            </a:ext>
          </a:extLst>
        </xdr:cNvPr>
        <xdr:cNvSpPr>
          <a:spLocks noChangeAspect="1" noChangeArrowheads="1"/>
        </xdr:cNvSpPr>
      </xdr:nvSpPr>
      <xdr:spPr bwMode="auto">
        <a:xfrm>
          <a:off x="6057900" y="1851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6926</xdr:colOff>
      <xdr:row>1</xdr:row>
      <xdr:rowOff>13854</xdr:rowOff>
    </xdr:from>
    <xdr:ext cx="4142510" cy="2386038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45753817-7378-4F96-8241-876B8DB7334F}"/>
            </a:ext>
          </a:extLst>
        </xdr:cNvPr>
        <xdr:cNvSpPr txBox="1"/>
      </xdr:nvSpPr>
      <xdr:spPr>
        <a:xfrm>
          <a:off x="6064826" y="478674"/>
          <a:ext cx="4142510" cy="2386038"/>
        </a:xfrm>
        <a:prstGeom prst="rect">
          <a:avLst/>
        </a:prstGeom>
        <a:solidFill>
          <a:srgbClr val="0000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</a:rPr>
            <a:t>Fyll i vita rutor</a:t>
          </a:r>
        </a:p>
        <a:p>
          <a:endParaRPr lang="en-GB" sz="1100">
            <a:solidFill>
              <a:schemeClr val="bg1"/>
            </a:solidFill>
          </a:endParaRPr>
        </a:p>
        <a:p>
          <a:r>
            <a:rPr lang="en-GB" sz="1200" b="1">
              <a:solidFill>
                <a:schemeClr val="bg1"/>
              </a:solidFill>
            </a:rPr>
            <a:t>Övervikt hos barn</a:t>
          </a:r>
        </a:p>
        <a:p>
          <a:r>
            <a:rPr lang="en-GB" sz="1100">
              <a:solidFill>
                <a:schemeClr val="bg1"/>
              </a:solidFill>
            </a:rPr>
            <a:t>Programmet räknar ut åldersspecifikt BMI-gränsvärde för övervikt som motsvarar BMI 25 kg/m</a:t>
          </a:r>
          <a:r>
            <a:rPr lang="en-GB" sz="1100" baseline="30000">
              <a:solidFill>
                <a:schemeClr val="bg1"/>
              </a:solidFill>
            </a:rPr>
            <a:t>2</a:t>
          </a:r>
          <a:r>
            <a:rPr lang="en-GB" sz="1100">
              <a:solidFill>
                <a:schemeClr val="bg1"/>
              </a:solidFill>
            </a:rPr>
            <a:t> för vuxna, s.k. isoBMI-25, och beroende på om övervikt föreligger eller inte beräknas dosvikt enligt följande:  </a:t>
          </a:r>
        </a:p>
        <a:p>
          <a:endParaRPr lang="en-GB" sz="1100">
            <a:solidFill>
              <a:schemeClr val="bg1"/>
            </a:solidFill>
          </a:endParaRPr>
        </a:p>
        <a:p>
          <a:r>
            <a:rPr lang="en-GB" sz="1100" b="1">
              <a:solidFill>
                <a:schemeClr val="bg1"/>
              </a:solidFill>
            </a:rPr>
            <a:t>Ej övervikt: </a:t>
          </a:r>
          <a:r>
            <a:rPr lang="en-GB" sz="1100">
              <a:solidFill>
                <a:schemeClr val="bg1"/>
              </a:solidFill>
            </a:rPr>
            <a:t>BMI ≤ isoBMI-25 och doseringen baseras på aktuell vikt.</a:t>
          </a:r>
        </a:p>
        <a:p>
          <a:endParaRPr lang="en-GB" sz="1100">
            <a:solidFill>
              <a:schemeClr val="bg1"/>
            </a:solidFill>
          </a:endParaRPr>
        </a:p>
        <a:p>
          <a:r>
            <a:rPr lang="en-GB" sz="1100" b="1">
              <a:solidFill>
                <a:schemeClr val="bg1"/>
              </a:solidFill>
            </a:rPr>
            <a:t>Övervikt:     </a:t>
          </a:r>
          <a:r>
            <a:rPr lang="en-GB" sz="1100">
              <a:solidFill>
                <a:schemeClr val="bg1"/>
              </a:solidFill>
            </a:rPr>
            <a:t>BMI &gt; isoBMI-25 och doseringen baseras på: </a:t>
          </a:r>
        </a:p>
        <a:p>
          <a:r>
            <a:rPr lang="en-GB" sz="1100">
              <a:solidFill>
                <a:schemeClr val="bg1"/>
              </a:solidFill>
            </a:rPr>
            <a:t>                      Vikt-isoBMI-25* + 0,4 × (aktuell vikt - vikt-isoBMI-25).</a:t>
          </a:r>
        </a:p>
        <a:p>
          <a:endParaRPr lang="en-GB" sz="1050">
            <a:solidFill>
              <a:schemeClr val="bg1"/>
            </a:solidFill>
          </a:endParaRPr>
        </a:p>
        <a:p>
          <a:r>
            <a:rPr lang="en-GB" sz="1100" i="1">
              <a:solidFill>
                <a:schemeClr val="bg1"/>
              </a:solidFill>
            </a:rPr>
            <a:t>*Vikt-isoBMI-25 = isoBMI-25 × längd</a:t>
          </a:r>
          <a:r>
            <a:rPr lang="en-GB" sz="1100" i="1" baseline="30000">
              <a:solidFill>
                <a:schemeClr val="bg1"/>
              </a:solidFill>
            </a:rPr>
            <a:t>2</a:t>
          </a:r>
          <a:r>
            <a:rPr lang="en-GB" sz="1100" i="1" baseline="0">
              <a:solidFill>
                <a:schemeClr val="bg1"/>
              </a:solidFill>
            </a:rPr>
            <a:t> (cm) / 10000</a:t>
          </a:r>
          <a:endParaRPr lang="en-GB" sz="1100" i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3</xdr:col>
      <xdr:colOff>235528</xdr:colOff>
      <xdr:row>1</xdr:row>
      <xdr:rowOff>124690</xdr:rowOff>
    </xdr:from>
    <xdr:to>
      <xdr:col>5</xdr:col>
      <xdr:colOff>16665</xdr:colOff>
      <xdr:row>8</xdr:row>
      <xdr:rowOff>8648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C6A5671-8866-4811-989D-BD96ED894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3082" t="11192" r="40983" b="10622"/>
        <a:stretch/>
      </xdr:blipFill>
      <xdr:spPr>
        <a:xfrm>
          <a:off x="4114108" y="589510"/>
          <a:ext cx="1175597" cy="1148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BF57-5C4B-49A0-858D-768DC4C6318D}">
  <dimension ref="A1:F33"/>
  <sheetViews>
    <sheetView tabSelected="1" zoomScale="110" zoomScaleNormal="110" workbookViewId="0">
      <selection activeCell="B11" sqref="B11"/>
    </sheetView>
  </sheetViews>
  <sheetFormatPr defaultColWidth="11.44140625" defaultRowHeight="13.2"/>
  <cols>
    <col min="1" max="1" width="30.6640625" customWidth="1"/>
    <col min="2" max="2" width="13.44140625" style="45" customWidth="1"/>
    <col min="3" max="3" width="12.44140625" customWidth="1"/>
    <col min="4" max="4" width="9.6640625" customWidth="1"/>
    <col min="5" max="5" width="10.6640625" customWidth="1"/>
    <col min="6" max="6" width="11.44140625" customWidth="1"/>
  </cols>
  <sheetData>
    <row r="1" spans="1:6" s="1" customFormat="1" ht="36.6" customHeight="1" thickTop="1">
      <c r="A1" s="49" t="s">
        <v>0</v>
      </c>
      <c r="B1" s="50"/>
      <c r="C1" s="50"/>
      <c r="D1" s="50"/>
      <c r="E1" s="51"/>
    </row>
    <row r="2" spans="1:6" s="1" customFormat="1" ht="10.050000000000001" customHeight="1">
      <c r="A2" s="2"/>
      <c r="B2" s="3"/>
      <c r="C2" s="3"/>
      <c r="D2" s="3"/>
      <c r="E2" s="4"/>
    </row>
    <row r="3" spans="1:6" s="1" customFormat="1" ht="15" customHeight="1">
      <c r="A3" s="5" t="s">
        <v>1</v>
      </c>
      <c r="B3" s="6">
        <v>1</v>
      </c>
      <c r="C3" s="7"/>
      <c r="D3" s="7"/>
      <c r="E3" s="8"/>
      <c r="F3" s="9"/>
    </row>
    <row r="4" spans="1:6" s="1" customFormat="1" ht="15" customHeight="1">
      <c r="A4" s="10" t="s">
        <v>2</v>
      </c>
      <c r="B4" s="11">
        <v>10</v>
      </c>
      <c r="C4" s="7" t="s">
        <v>3</v>
      </c>
      <c r="D4" s="7"/>
      <c r="E4" s="8"/>
    </row>
    <row r="5" spans="1:6" s="1" customFormat="1" ht="15" customHeight="1">
      <c r="A5" s="10" t="s">
        <v>4</v>
      </c>
      <c r="B5" s="11">
        <v>67</v>
      </c>
      <c r="C5" s="7" t="s">
        <v>5</v>
      </c>
      <c r="D5" s="7"/>
      <c r="E5" s="8"/>
    </row>
    <row r="6" spans="1:6" s="1" customFormat="1" ht="15" customHeight="1">
      <c r="A6" s="10" t="s">
        <v>6</v>
      </c>
      <c r="B6" s="11">
        <v>1.2</v>
      </c>
      <c r="C6" s="7" t="s">
        <v>7</v>
      </c>
      <c r="D6" s="7"/>
      <c r="E6" s="8"/>
    </row>
    <row r="7" spans="1:6" s="1" customFormat="1" ht="15" customHeight="1">
      <c r="A7" s="10" t="s">
        <v>8</v>
      </c>
      <c r="B7" s="11">
        <v>50</v>
      </c>
      <c r="C7" s="7" t="s">
        <v>9</v>
      </c>
      <c r="D7" s="7"/>
      <c r="E7" s="8"/>
    </row>
    <row r="8" spans="1:6" s="1" customFormat="1" ht="15" customHeight="1">
      <c r="A8" s="10" t="s">
        <v>10</v>
      </c>
      <c r="B8" s="11">
        <v>141</v>
      </c>
      <c r="C8" s="7" t="s">
        <v>11</v>
      </c>
      <c r="D8" s="7"/>
      <c r="E8" s="8"/>
    </row>
    <row r="9" spans="1:6" s="1" customFormat="1" ht="10.050000000000001" customHeight="1">
      <c r="A9" s="12"/>
      <c r="B9" s="13"/>
      <c r="C9" s="14"/>
      <c r="D9" s="14"/>
      <c r="E9" s="15"/>
    </row>
    <row r="10" spans="1:6" s="1" customFormat="1" ht="15" customHeight="1">
      <c r="A10" s="16" t="s">
        <v>12</v>
      </c>
      <c r="B10" s="17">
        <f>IF(B7=0,"",IF(B8=0,"",B7/(B8*B8/10000)))</f>
        <v>25.14964036014285</v>
      </c>
      <c r="C10" s="18" t="s">
        <v>13</v>
      </c>
      <c r="D10" s="19"/>
      <c r="E10" s="20"/>
    </row>
    <row r="11" spans="1:6" s="1" customFormat="1" ht="15" customHeight="1">
      <c r="A11" s="16" t="s">
        <v>14</v>
      </c>
      <c r="B11" s="17">
        <f>IF(B4=0,"",-0.0057*B4^3+0.1972*B4^2-1.4719*B4+20.463)</f>
        <v>19.764000000000003</v>
      </c>
      <c r="C11" s="52" t="s">
        <v>15</v>
      </c>
      <c r="D11" s="53"/>
      <c r="E11" s="54"/>
    </row>
    <row r="12" spans="1:6" s="1" customFormat="1" ht="15" customHeight="1">
      <c r="A12" s="16" t="s">
        <v>16</v>
      </c>
      <c r="B12" s="17">
        <f>IF(OR(ISBLANK(B8)),"",B11*B8*B8/10000)</f>
        <v>39.292808400000006</v>
      </c>
      <c r="C12" s="21" t="s">
        <v>9</v>
      </c>
      <c r="D12" s="22"/>
      <c r="E12" s="23"/>
    </row>
    <row r="13" spans="1:6" s="1" customFormat="1" ht="15" customHeight="1">
      <c r="A13" s="16" t="s">
        <v>17</v>
      </c>
      <c r="B13" s="17">
        <f>IF(OR(ISBLANK(B10),ISBLANK(B11),ISBLANK(#REF!),ISBLANK(B7)),"",IF(B10&lt;=B11,B7,B12+0.4*(B7-B12)))</f>
        <v>43.575685040000003</v>
      </c>
      <c r="C13" s="52" t="s">
        <v>9</v>
      </c>
      <c r="D13" s="53"/>
      <c r="E13" s="54"/>
    </row>
    <row r="14" spans="1:6" s="1" customFormat="1" ht="15" customHeight="1">
      <c r="A14" s="10" t="s">
        <v>18</v>
      </c>
      <c r="B14" s="24">
        <f>IF(B7="","",IF(B8="","",EXP(0.425*LN(B7)+0.725*LN(B8)+LN(71.84))/10000))</f>
        <v>1.3696589261758882</v>
      </c>
      <c r="C14" s="25" t="s">
        <v>19</v>
      </c>
      <c r="D14" s="26"/>
      <c r="E14" s="27"/>
    </row>
    <row r="15" spans="1:6" s="1" customFormat="1" ht="30" customHeight="1">
      <c r="A15" s="28" t="s">
        <v>20</v>
      </c>
      <c r="B15" s="55" t="s">
        <v>21</v>
      </c>
      <c r="C15" s="56"/>
      <c r="D15" s="55" t="s">
        <v>22</v>
      </c>
      <c r="E15" s="57"/>
    </row>
    <row r="16" spans="1:6" s="1" customFormat="1" ht="19.95" customHeight="1">
      <c r="A16" s="29" t="s">
        <v>23</v>
      </c>
      <c r="B16" s="58">
        <f>IF(OR(ISBLANK(B3),ISBLANK(B4),ISBLANK(B5),ISBLANK(B8)),"",IF(B3=1,32.5*B8/B5,IF(AND(B3=0,B4&lt;13),32.5*B8/B5,IF(AND(B3=0,B4&gt;=13),36.5*B8/B5))))</f>
        <v>68.395522388059703</v>
      </c>
      <c r="C16" s="59"/>
      <c r="D16" s="60">
        <f>IF(OR(ISBLANK(B3),ISBLANK(B4),ISBLANK(B5),ISBLANK(B7),ISBLANK(B8)),"",B16*B14/1.73)</f>
        <v>54.149443785704491</v>
      </c>
      <c r="E16" s="61"/>
    </row>
    <row r="17" spans="1:5" s="1" customFormat="1" ht="19.95" customHeight="1">
      <c r="A17" s="29" t="s">
        <v>24</v>
      </c>
      <c r="B17" s="62">
        <f>IF(OR(ISBLANK(B3),ISBLANK(B4),ISBLANK(B6)),"",133*(MIN(B6/0.8,1)^-0.499)*(MAX(B6/0.8,1)^-1.328)*(0.996^B4)*0.932^B3)</f>
        <v>69.504311483621962</v>
      </c>
      <c r="C17" s="63"/>
      <c r="D17" s="64">
        <f>IF(OR(ISBLANK(B3),ISBLANK(B4),ISBLANK(B6),ISBLANK(B7),ISBLANK(B8)),"",B17*B14/1.73)</f>
        <v>55.027283601879837</v>
      </c>
      <c r="E17" s="65"/>
    </row>
    <row r="18" spans="1:5" s="1" customFormat="1" ht="19.95" customHeight="1">
      <c r="A18" s="30" t="s">
        <v>25</v>
      </c>
      <c r="B18" s="66">
        <f>IF(OR(ISBLANK(B3),ISBLANK(B4),ISBLANK(B5),ISBLANK(B6),ISBLANK(B8)),"",(B16+B17)/2)</f>
        <v>68.949916935840832</v>
      </c>
      <c r="C18" s="67"/>
      <c r="D18" s="64">
        <f>IF(OR(ISBLANK(B3),ISBLANK(B4),ISBLANK(B5),ISBLANK(B6),ISBLANK(B7),ISBLANK(B8)),"",(D16+D17)/2)</f>
        <v>54.588363693792161</v>
      </c>
      <c r="E18" s="65"/>
    </row>
    <row r="19" spans="1:5" s="1" customFormat="1" ht="30" customHeight="1">
      <c r="A19" s="31" t="s">
        <v>26</v>
      </c>
      <c r="B19" s="32" t="s">
        <v>27</v>
      </c>
      <c r="C19" s="32" t="s">
        <v>28</v>
      </c>
      <c r="D19" s="68" t="s">
        <v>29</v>
      </c>
      <c r="E19" s="69"/>
    </row>
    <row r="20" spans="1:5" s="1" customFormat="1" ht="19.95" customHeight="1">
      <c r="A20" s="29" t="s">
        <v>30</v>
      </c>
      <c r="B20" s="33">
        <v>500</v>
      </c>
      <c r="C20" s="34">
        <f>IF(OR(ISBLANK(B7),ISBLANK(B20)),"",B$13*B20/1000)</f>
        <v>21.787842520000002</v>
      </c>
      <c r="D20" s="47">
        <f>IF(OR(ISBLANK(B3),ISBLANK(B4),ISBLANK(B5),ISBLANK(B7),ISBLANK(B8),ISBLANK(B20),ISBLANK(D16)),"",C20/D16)</f>
        <v>0.4023650290153491</v>
      </c>
      <c r="E20" s="48"/>
    </row>
    <row r="21" spans="1:5" s="1" customFormat="1" ht="19.95" customHeight="1">
      <c r="A21" s="29" t="s">
        <v>24</v>
      </c>
      <c r="B21" s="35">
        <f>IF(ISBLANK(B20),"",B20)</f>
        <v>500</v>
      </c>
      <c r="C21" s="34">
        <f>IF(OR(ISBLANK(B7),ISBLANK(B20)),"",B$13*B21/1000)</f>
        <v>21.787842520000002</v>
      </c>
      <c r="D21" s="47">
        <f>IF(OR(ISBLANK(B3),ISBLANK(B4),ISBLANK(B6),ISBLANK(B7),ISBLANK(B8),ISBLANK(B20),ISBLANK(D17)),"",C21/D17)</f>
        <v>0.3959461760394018</v>
      </c>
      <c r="E21" s="48"/>
    </row>
    <row r="22" spans="1:5" s="1" customFormat="1" ht="19.95" customHeight="1">
      <c r="A22" s="30" t="s">
        <v>31</v>
      </c>
      <c r="B22" s="35">
        <f>IF(ISBLANK(B20),"",B20)</f>
        <v>500</v>
      </c>
      <c r="C22" s="34">
        <f>IF(OR(ISBLANK(B7),ISBLANK(B20)),"",B$13*B22/1000)</f>
        <v>21.787842520000002</v>
      </c>
      <c r="D22" s="76">
        <f>IF(OR(ISBLANK(B3),ISBLANK(B4),ISBLANK(B5),ISBLANK(B6),ISBLANK(B7),ISBLANK(B8),ISBLANK(B20),ISBLANK(D18)),"",C22/D18)</f>
        <v>0.39912979700612888</v>
      </c>
      <c r="E22" s="77"/>
    </row>
    <row r="23" spans="1:5" s="1" customFormat="1" ht="30" customHeight="1">
      <c r="A23" s="28" t="s">
        <v>20</v>
      </c>
      <c r="B23" s="36" t="s">
        <v>32</v>
      </c>
      <c r="C23" s="37" t="s">
        <v>33</v>
      </c>
      <c r="D23" s="38" t="s">
        <v>34</v>
      </c>
      <c r="E23" s="39" t="s">
        <v>35</v>
      </c>
    </row>
    <row r="24" spans="1:5" s="1" customFormat="1" ht="19.95" customHeight="1">
      <c r="A24" s="40" t="s">
        <v>36</v>
      </c>
      <c r="B24" s="41">
        <v>300</v>
      </c>
      <c r="C24" s="42">
        <v>30</v>
      </c>
      <c r="D24" s="43">
        <f>IF(OR(ISBLANK(B24),ISBLANK(C24),ISBLANK(B20),ISBLANK(B7)),"",1000*C20/B24)</f>
        <v>72.626141733333341</v>
      </c>
      <c r="E24" s="44">
        <f>IF(OR(ISBLANK(B24),ISBLANK(C24),ISBLANK(B20),ISBLANK(B7)),"",D24/C24)</f>
        <v>2.4208713911111115</v>
      </c>
    </row>
    <row r="25" spans="1:5" s="1" customFormat="1" ht="25.05" customHeight="1">
      <c r="A25" s="78" t="s">
        <v>37</v>
      </c>
      <c r="B25" s="79"/>
      <c r="C25" s="79"/>
      <c r="D25" s="79"/>
      <c r="E25" s="80"/>
    </row>
    <row r="26" spans="1:5" s="1" customFormat="1" ht="25.05" customHeight="1">
      <c r="A26" s="78" t="s">
        <v>38</v>
      </c>
      <c r="B26" s="79"/>
      <c r="C26" s="79"/>
      <c r="D26" s="79"/>
      <c r="E26" s="80"/>
    </row>
    <row r="27" spans="1:5" s="1" customFormat="1" ht="15" customHeight="1">
      <c r="A27" s="70" t="s">
        <v>39</v>
      </c>
      <c r="B27" s="81"/>
      <c r="C27" s="81"/>
      <c r="D27" s="81"/>
      <c r="E27" s="82"/>
    </row>
    <row r="28" spans="1:5" s="1" customFormat="1" ht="25.05" customHeight="1">
      <c r="A28" s="70" t="s">
        <v>40</v>
      </c>
      <c r="B28" s="71"/>
      <c r="C28" s="71"/>
      <c r="D28" s="71"/>
      <c r="E28" s="72"/>
    </row>
    <row r="29" spans="1:5" s="1" customFormat="1" ht="25.05" customHeight="1">
      <c r="A29" s="70" t="s">
        <v>41</v>
      </c>
      <c r="B29" s="71"/>
      <c r="C29" s="71"/>
      <c r="D29" s="71"/>
      <c r="E29" s="72"/>
    </row>
    <row r="30" spans="1:5" s="1" customFormat="1" ht="15" customHeight="1" thickBot="1">
      <c r="A30" s="73" t="s">
        <v>42</v>
      </c>
      <c r="B30" s="74"/>
      <c r="C30" s="74"/>
      <c r="D30" s="74"/>
      <c r="E30" s="75"/>
    </row>
    <row r="31" spans="1:5" ht="13.8" thickTop="1"/>
    <row r="33" spans="2:2" ht="15">
      <c r="B33" s="46"/>
    </row>
  </sheetData>
  <sheetProtection sheet="1" objects="1" scenarios="1"/>
  <mergeCells count="21">
    <mergeCell ref="A29:E29"/>
    <mergeCell ref="A30:E30"/>
    <mergeCell ref="D21:E21"/>
    <mergeCell ref="D22:E22"/>
    <mergeCell ref="A25:E25"/>
    <mergeCell ref="A26:E26"/>
    <mergeCell ref="A27:E27"/>
    <mergeCell ref="A28:E28"/>
    <mergeCell ref="D20:E20"/>
    <mergeCell ref="A1:E1"/>
    <mergeCell ref="C11:E11"/>
    <mergeCell ref="C13:E13"/>
    <mergeCell ref="B15:C15"/>
    <mergeCell ref="D15:E15"/>
    <mergeCell ref="B16:C16"/>
    <mergeCell ref="D16:E16"/>
    <mergeCell ref="B17:C17"/>
    <mergeCell ref="D17:E17"/>
    <mergeCell ref="B18:C18"/>
    <mergeCell ref="D18:E18"/>
    <mergeCell ref="D19:E19"/>
  </mergeCells>
  <printOptions gridLines="1" gridLinesSet="0"/>
  <pageMargins left="0.75" right="0.75" top="1" bottom="1" header="0.5" footer="0.5"/>
  <pageSetup paperSize="9" orientation="portrait" horizontalDpi="4294967292" verticalDpi="4294967292" r:id="rId1"/>
  <headerFooter alignWithMargins="0">
    <oddHeader>&amp;F</oddHead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eGFR &amp; dosering övervikt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ulfny</dc:creator>
  <cp:lastModifiedBy>Ulf Nyman</cp:lastModifiedBy>
  <dcterms:created xsi:type="dcterms:W3CDTF">2020-09-23T15:11:41Z</dcterms:created>
  <dcterms:modified xsi:type="dcterms:W3CDTF">2020-09-26T06:47:03Z</dcterms:modified>
</cp:coreProperties>
</file>